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3.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Setup" state="visible" r:id="rId5"/>
    <sheet sheetId="3" name="Our DOs" state="visible" r:id="rId6"/>
    <sheet sheetId="4" name="Their statement" state="visible" r:id="rId7"/>
    <sheet sheetId="5" name="Reconcile" state="visible" r:id="rId8"/>
    <sheet sheetId="6" name="Dispute email" state="visible" r:id="rId9"/>
    <sheet sheetId="7" name="Dispute log" state="visible" r:id="rId10"/>
    <sheet sheetId="8" name="Checklist" state="visible" r:id="rId11"/>
  </sheets>
  <calcPr calcId="171027"/>
</workbook>
</file>

<file path=xl/comments3.xml><?xml version="1.0" encoding="utf-8"?>
<comments xmlns="http://schemas.openxmlformats.org/spreadsheetml/2006/main">
  <authors>
    <author>Author</author>
  </authors>
  <commentList>
    <comment ref="B1" authorId="0">
      <text>
        <r>
          <t>The hospital's purchase order number as the manufacturer sees it. Leave blank if no PO has been received yet.</t>
        </r>
      </text>
    </comment>
    <comment ref="C1" authorId="0">
      <text>
        <r>
          <t>Hospital name only. Never a patient name, identifier or date of birth.</t>
        </r>
      </text>
    </comment>
    <comment ref="F1" authorId="0">
      <text>
        <r>
          <t>The commission you expect on this DO under the manufacturer's agreement in force on the case date.</t>
        </r>
      </text>
    </comment>
  </commentList>
</comments>
</file>

<file path=xl/comments4.xml><?xml version="1.0" encoding="utf-8"?>
<comments xmlns="http://schemas.openxmlformats.org/spreadsheetml/2006/main">
  <authors>
    <author>Author</author>
  </authors>
  <commentList>
    <comment ref="D1" authorId="0">
      <text>
        <r>
          <t>Leave blank if the statement shows only commission. Reconcile then compares commission alone.</t>
        </r>
      </text>
    </comment>
    <comment ref="F1" authorId="0">
      <text>
        <r>
          <t>"Not in our DOs" is a line they paid that you have no DO for this month: a DO you forgot to list, a boundary case from last month, or a PO that belongs to another distributor. Look before you accept it.</t>
        </r>
      </text>
    </comment>
  </commentList>
</comments>
</file>

<file path=xl/comments7.xml><?xml version="1.0" encoding="utf-8"?>
<comments xmlns="http://schemas.openxmlformats.org/spreadsheetml/2006/main">
  <authors>
    <author>Author</author>
  </authors>
  <commentList>
    <comment ref="F9" authorId="0">
      <text>
        <r>
          <t>Open until the manufacturer answers. Corrected = figures fixed; Added = the missing line appeared; Partial = some of it; Denied = they held their position (your own evidence decides what happens next).</t>
        </r>
      </text>
    </comment>
  </commentList>
</comments>
</file>

<file path=xl/sharedStrings.xml><?xml version="1.0" encoding="utf-8"?>
<sst xmlns="http://schemas.openxmlformats.org/spreadsheetml/2006/main" count="166" uniqueCount="130">
  <si>
    <t>Manufacturer Statement Dispute Kit</t>
  </si>
  <si>
    <t>Find the lines a manufacturer's commission statement got wrong, draft the dispute, and keep score of what you recover.</t>
  </si>
  <si>
    <t/>
  </si>
  <si>
    <t>How to use it, once a month, per manufacturer</t>
  </si>
  <si>
    <t>1.  Setup — your distributorship, the manufacturer, the statement month, your name and email. Yellow cells are yours to type in.</t>
  </si>
  <si>
    <t>2.  Our DOs — every Delivery Order you sent that manufacturer in the month: Customer PO, hospital, case date, sales, the commission you expect, and when and how the DO went to them.</t>
  </si>
  <si>
    <t>3.  Their statement — the lines on the manufacturer's commission statement: Customer PO, their reference, sales shown, commission paid.</t>
  </si>
  <si>
    <t>4.  Reconcile — fills itself. Each DO is Matches, Differs, Missing or No PO yet, with the short-paid amount. Untick anything you don't want to raise.</t>
  </si>
  <si>
    <t>5.  Dispute email — the subject and body are drafted, one block per disputed line. Copy them into an email from your own account. Attach nothing.</t>
  </si>
  <si>
    <t>6.  Dispute log — one row per disputed line. Update it when the correction lands. The top of the tab keeps your recovered total.</t>
  </si>
  <si>
    <t>7.  Checklist — the month-end routine, so the steps happen in the same order every month.</t>
  </si>
  <si>
    <t>One rule: no patient information anywhere in this workbook</t>
  </si>
  <si>
    <t>Customer PO numbers, hospitals, case dates and amounts are all a manufacturer dispute needs. There is deliberately no notes column. Never type a patient name, identifier, date of birth or anything from a case sticker into any cell. If a statement you receive carries patient columns, leave them out.</t>
  </si>
  <si>
    <t>What this kit cannot do</t>
  </si>
  <si>
    <t>It finds the discrepancies. It cannot prove them. A manufacturer answers fastest to a dispute that shows when the Delivery Order was sent, to whom, with which purchase order number, and that their team opened it. This workbook can only state the date you say it went out. FieldRepOps sends each Delivery Order itself and keeps that record, so every disputed line carries its own send log, open receipt and a secure link to the document, with no attachment and no patient information.</t>
  </si>
  <si>
    <t>Example rows</t>
  </si>
  <si>
    <t>The grey rows on each tab are a worked example (fictional distributorship, manufacturer and hospitals) so you can see the format. Delete them before your first real month.</t>
  </si>
  <si>
    <t>Compatibility</t>
  </si>
  <si>
    <t>Built for Excel and Google Sheets; opens in Numbers. Type dates as text (6/12/2026). Money cells take plain numbers.</t>
  </si>
  <si>
    <t>Powered by FieldRepOps · fieldrepops.com</t>
  </si>
  <si>
    <t>Setup</t>
  </si>
  <si>
    <t>Yellow cells are yours. Everything else reads from here.</t>
  </si>
  <si>
    <t>Your distributorship</t>
  </si>
  <si>
    <t>Summit Surgical Distribution</t>
  </si>
  <si>
    <t>Appears in the email subject and signature.</t>
  </si>
  <si>
    <t>Manufacturer</t>
  </si>
  <si>
    <t>Meridian Ortho</t>
  </si>
  <si>
    <t>Whose statement you are reconciling.</t>
  </si>
  <si>
    <t>Statement month</t>
  </si>
  <si>
    <t>June 2026</t>
  </si>
  <si>
    <t>As the manufacturer names it, e.g. June 2026.</t>
  </si>
  <si>
    <t>Your email</t>
  </si>
  <si>
    <t>ap@summitsurgical.example</t>
  </si>
  <si>
    <t>Signature line.</t>
  </si>
  <si>
    <t>Your name</t>
  </si>
  <si>
    <t>Jordan Lee</t>
  </si>
  <si>
    <t>The values shown are the worked example. Replace them with yours.</t>
  </si>
  <si>
    <t>DO / invoice #</t>
  </si>
  <si>
    <t>Customer PO</t>
  </si>
  <si>
    <t>Hospital</t>
  </si>
  <si>
    <t>Case date (text, e.g. 6/12/2026)</t>
  </si>
  <si>
    <t>Sales (ext. price)</t>
  </si>
  <si>
    <t>Commission expected</t>
  </si>
  <si>
    <t>Date sent to manufacturer (text)</t>
  </si>
  <si>
    <t>How sent</t>
  </si>
  <si>
    <t>PO number on the DO?</t>
  </si>
  <si>
    <t>SSD-26-0167</t>
  </si>
  <si>
    <t>4471002</t>
  </si>
  <si>
    <t>Northgate General</t>
  </si>
  <si>
    <t>6/3/2026</t>
  </si>
  <si>
    <t>6/4/2026</t>
  </si>
  <si>
    <t>Email</t>
  </si>
  <si>
    <t>Yes</t>
  </si>
  <si>
    <t>SSD-26-0172</t>
  </si>
  <si>
    <t>4471188</t>
  </si>
  <si>
    <t>Harbor Point Regional</t>
  </si>
  <si>
    <t>6/9/2026</t>
  </si>
  <si>
    <t>6/10/2026</t>
  </si>
  <si>
    <t>SSD-26-0176</t>
  </si>
  <si>
    <t>4471301</t>
  </si>
  <si>
    <t>6/17/2026</t>
  </si>
  <si>
    <t>6/18/2026</t>
  </si>
  <si>
    <t>Portal</t>
  </si>
  <si>
    <t>SSD-26-0177</t>
  </si>
  <si>
    <t>6/26/2026</t>
  </si>
  <si>
    <t>Their reference</t>
  </si>
  <si>
    <t>Service / case date (text)</t>
  </si>
  <si>
    <t>Sales shown</t>
  </si>
  <si>
    <t>Commission paid</t>
  </si>
  <si>
    <t>In our DOs?</t>
  </si>
  <si>
    <t>INV-88213</t>
  </si>
  <si>
    <t>INV-88290</t>
  </si>
  <si>
    <t>4470955</t>
  </si>
  <si>
    <t>INV-88102</t>
  </si>
  <si>
    <t>5/29/2026</t>
  </si>
  <si>
    <t>Reconcile</t>
  </si>
  <si>
    <t>Fills itself from Our DOs and Their statement. Only the Include column is yours.</t>
  </si>
  <si>
    <t>Lines compared</t>
  </si>
  <si>
    <t>Lines in the dispute email</t>
  </si>
  <si>
    <t>Missing from their statement</t>
  </si>
  <si>
    <t>Figures differ</t>
  </si>
  <si>
    <t>Short-paid commission (missing + differs)</t>
  </si>
  <si>
    <t>On their statement, not in our DOs</t>
  </si>
  <si>
    <t>Case date</t>
  </si>
  <si>
    <t>Sales (ours)</t>
  </si>
  <si>
    <t>Sales on statement</t>
  </si>
  <si>
    <t>Status</t>
  </si>
  <si>
    <t>Short-paid</t>
  </si>
  <si>
    <t>Include? (blank = yes)</t>
  </si>
  <si>
    <t>Line #</t>
  </si>
  <si>
    <t>Email block (copied by the Dispute email tab)</t>
  </si>
  <si>
    <t>disputed</t>
  </si>
  <si>
    <t>Dispute email</t>
  </si>
  <si>
    <t>Copy the subject and the body into a new email from your own account. Attach nothing.</t>
  </si>
  <si>
    <t>To</t>
  </si>
  <si>
    <t>ap@meridianortho.example</t>
  </si>
  <si>
    <t>Subject</t>
  </si>
  <si>
    <t>Body</t>
  </si>
  <si>
    <t>Not part of the email. Where each block says "The Delivery Order is available on request", FieldRepOps's own dispute reads: "We sent this Delivery Order, with the hospital's purchase order number, to &lt;their address&gt; on &lt;date&gt;. Your copy was opened twice, first on &lt;date&gt;." followed by a secure link to the document. That record is what makes a manufacturer answer the first time.</t>
  </si>
  <si>
    <t>Dispute log</t>
  </si>
  <si>
    <t>One row per disputed line. Update Status and Amount recovered when the manufacturer answers.</t>
  </si>
  <si>
    <t>Open disputes</t>
  </si>
  <si>
    <t>Amount open</t>
  </si>
  <si>
    <t>Amount disputed, all time</t>
  </si>
  <si>
    <t>Amount recovered, all time</t>
  </si>
  <si>
    <t>Recovery rate</t>
  </si>
  <si>
    <t>Date raised (text)</t>
  </si>
  <si>
    <t>Amount disputed</t>
  </si>
  <si>
    <t>Amount recovered</t>
  </si>
  <si>
    <t>Date resolved (text)</t>
  </si>
  <si>
    <t>7/8/2026</t>
  </si>
  <si>
    <t>Open</t>
  </si>
  <si>
    <t>Month-end statement checklist</t>
  </si>
  <si>
    <t>Same order every month, per manufacturer. Mark each step Done.</t>
  </si>
  <si>
    <t>#</t>
  </si>
  <si>
    <t>Step</t>
  </si>
  <si>
    <t>Done</t>
  </si>
  <si>
    <t>Pull the manufacturer's commission statement for the month, as a PDF or spreadsheet.</t>
  </si>
  <si>
    <t>On Our DOs, list every Delivery Order you sent that manufacturer in the month: Customer PO, hospital, case date, sales and expected commission.</t>
  </si>
  <si>
    <t>Check each expected commission against the manufacturer agreement in force on the case date, not today's.</t>
  </si>
  <si>
    <t>Record when and how each Delivery Order went to the manufacturer, and whether the PO number was on it.</t>
  </si>
  <si>
    <t>On Their statement, enter every line: Customer PO, their reference, sales shown, commission paid.</t>
  </si>
  <si>
    <t>Read Reconcile. Missing = not paid at all. Differs = paid, but not what you expected. No PO yet = you cannot dispute it until the hospital's PO arrives.</t>
  </si>
  <si>
    <t>Look at every "Not in our DOs" line on their statement before you accept it: a DO you forgot, a late line from last month, or another distributor's PO.</t>
  </si>
  <si>
    <t>Hold the boundary lines. DOs sent in the last five days of the month often land on next month's statement; the first five days of next month can land on this one. Do not dispute those yet.</t>
  </si>
  <si>
    <t>Decide what to raise. Set Include to No on anything you want to hold back.</t>
  </si>
  <si>
    <t>Copy the Dispute email into a message from your own account and send it. Attach nothing; offer the Delivery Order on request.</t>
  </si>
  <si>
    <t>Add one row per disputed line to the Dispute log with the amount.</t>
  </si>
  <si>
    <t>Follow up in 14 days. When a correction arrives, update Status and Amount recovered.</t>
  </si>
  <si>
    <t>Repeat for the next 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</si>
</sst>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quot;$&quot;#,##0.00);&quot;-&quot;"/>
  </numFmts>
  <fonts count="13" x14ac:knownFonts="1">
    <font>
      <color theme="1"/>
      <family val="2"/>
      <scheme val="minor"/>
      <sz val="11"/>
      <name val="Calibri"/>
    </font>
    <font>
      <b/>
      <color rgb="FF0A0D10"/>
      <sz val="18"/>
      <name val="Arial"/>
    </font>
    <font>
      <color rgb="FF6B7480"/>
      <sz val="10"/>
      <name val="Arial"/>
    </font>
    <font>
      <color rgb="FF0A0D10"/>
      <sz val="10"/>
      <name val="Arial"/>
    </font>
    <font>
      <b/>
      <color rgb="FF0A0D10"/>
      <sz val="12"/>
      <name val="Arial"/>
    </font>
    <font>
      <b/>
      <color rgb="FFCE2B23"/>
      <sz val="12"/>
      <name val="Arial"/>
    </font>
    <font>
      <color rgb="FF6B7480"/>
      <sz val="9"/>
      <name val="Arial"/>
    </font>
    <font>
      <b/>
      <color rgb="FF0A0D10"/>
      <sz val="16"/>
      <name val="Arial"/>
    </font>
    <font>
      <b/>
      <color rgb="FF0A0D10"/>
      <sz val="10"/>
      <name val="Arial"/>
    </font>
    <font>
      <i/>
      <color rgb="FF6B7480"/>
      <sz val="10"/>
      <name val="Arial"/>
    </font>
    <font>
      <b/>
      <color rgb="FFFFFFFF"/>
      <sz val="10"/>
      <name val="Arial"/>
    </font>
    <font>
      <b/>
      <color rgb="FF6B7480"/>
      <sz val="9"/>
      <name val="Arial"/>
    </font>
    <font>
      <i/>
      <color rgb="FF6B7480"/>
      <sz val="9"/>
      <name val="Arial"/>
    </font>
  </fonts>
  <fills count="5">
    <fill>
      <patternFill patternType="none"/>
    </fill>
    <fill>
      <patternFill patternType="gray125"/>
    </fill>
    <fill>
      <patternFill patternType="solid">
        <fgColor rgb="FFFFF4C2"/>
      </patternFill>
    </fill>
    <fill>
      <patternFill patternType="solid">
        <fgColor rgb="FF161A1F"/>
      </patternFill>
    </fill>
    <fill>
      <patternFill patternType="solid">
        <fgColor rgb="FFEFF3F6"/>
      </patternFill>
    </fill>
  </fills>
  <borders count="2">
    <border>
      <left/>
      <right/>
      <top/>
      <bottom/>
      <diagonal/>
    </border>
    <border>
      <left/>
      <right/>
      <top/>
      <bottom style="thin">
        <color rgb="FFD9DCE0"/>
      </bottom>
      <diagonal/>
    </border>
  </borders>
  <cellStyleXfs count="1">
    <xf numFmtId="0" fontId="0" fillId="0" borderId="0"/>
  </cellStyleXfs>
  <cellXfs count="3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2" fillId="0" borderId="0" xfId="0" applyFont="1" applyAlignment="1">
      <alignment horizontal="left" vertical="top"/>
    </xf>
    <xf numFmtId="0" fontId="8" fillId="0" borderId="0" xfId="0" applyFont="1" applyAlignment="1">
      <alignment horizontal="left" vertical="top"/>
    </xf>
    <xf numFmtId="0" fontId="3" fillId="2" borderId="1" xfId="0" applyFont="1" applyFill="1" applyBorder="1" applyAlignment="1">
      <alignment horizontal="left" vertical="top"/>
    </xf>
    <xf numFmtId="0" fontId="9" fillId="0" borderId="0" xfId="0" applyFont="1" applyAlignment="1">
      <alignment horizontal="left" vertical="top"/>
    </xf>
    <xf numFmtId="0" fontId="6" fillId="0" borderId="0" xfId="0" applyFont="1" applyAlignment="1">
      <alignment horizontal="left" vertical="top"/>
    </xf>
    <xf numFmtId="0" fontId="10" fillId="3" borderId="0" xfId="0" applyFont="1" applyFill="1" applyAlignment="1">
      <alignment horizontal="left" vertical="top" wrapText="1"/>
    </xf>
    <xf numFmtId="0" fontId="3" fillId="4" borderId="1" xfId="0" applyFont="1" applyFill="1" applyBorder="1" applyAlignment="1">
      <alignment horizontal="left" vertical="top"/>
    </xf>
    <xf numFmtId="49" fontId="3" fillId="4" borderId="1" xfId="0" applyNumberFormat="1" applyFont="1" applyFill="1" applyBorder="1" applyAlignment="1">
      <alignment horizontal="left" vertical="top"/>
    </xf>
    <xf numFmtId="164" fontId="3" fillId="4" borderId="1" xfId="0" applyNumberFormat="1" applyFont="1" applyFill="1" applyBorder="1" applyAlignment="1">
      <alignment horizontal="right"/>
    </xf>
    <xf numFmtId="49" fontId="3" fillId="2" borderId="1" xfId="0" applyNumberFormat="1" applyFont="1" applyFill="1" applyBorder="1" applyAlignment="1">
      <alignment horizontal="left" vertical="top"/>
    </xf>
    <xf numFmtId="164" fontId="3" fillId="2" borderId="1" xfId="0" applyNumberFormat="1" applyFont="1" applyFill="1" applyBorder="1" applyAlignment="1">
      <alignment horizontal="right"/>
    </xf>
    <xf numFmtId="0" fontId="3" fillId="0" borderId="1" xfId="0" applyFont="1" applyBorder="1" applyAlignment="1">
      <alignment horizontal="left" vertical="top"/>
    </xf>
    <xf numFmtId="1" fontId="3" fillId="0" borderId="0" xfId="0" applyNumberFormat="1" applyFont="1" applyAlignment="1">
      <alignment horizontal="right" vertical="top"/>
    </xf>
    <xf numFmtId="164" fontId="3" fillId="0" borderId="0" xfId="0" applyNumberFormat="1" applyFont="1" applyAlignment="1">
      <alignment horizontal="right" vertical="top"/>
    </xf>
    <xf numFmtId="164" fontId="3" fillId="0" borderId="1" xfId="0" applyNumberFormat="1" applyFont="1" applyBorder="1" applyAlignment="1">
      <alignment horizontal="right" vertical="top"/>
    </xf>
    <xf numFmtId="0" fontId="3" fillId="0" borderId="1" xfId="0" applyFont="1" applyBorder="1" applyAlignment="1">
      <alignment horizontal="right" vertical="top"/>
    </xf>
    <xf numFmtId="0" fontId="3" fillId="0" borderId="1" xfId="0" applyFont="1" applyBorder="1" applyAlignment="1">
      <alignment horizontal="left" vertical="top" wrapText="1"/>
    </xf>
    <xf numFmtId="0" fontId="2" fillId="0" borderId="1" xfId="0" applyFont="1" applyBorder="1" applyAlignment="1">
      <alignment horizontal="right" vertical="top"/>
    </xf>
    <xf numFmtId="0" fontId="11" fillId="0" borderId="0" xfId="0" applyFont="1" applyAlignment="1">
      <alignment horizontal="left" vertical="top"/>
    </xf>
    <xf numFmtId="0" fontId="8" fillId="0" borderId="1" xfId="0" applyFont="1" applyBorder="1" applyAlignment="1">
      <alignment horizontal="left" vertical="top"/>
    </xf>
    <xf numFmtId="0" fontId="2" fillId="0" borderId="0" xfId="0" applyFont="1" applyAlignment="1">
      <alignment horizontal="right" vertical="top"/>
    </xf>
    <xf numFmtId="0" fontId="12" fillId="0" borderId="0" xfId="0" applyFont="1" applyAlignment="1">
      <alignment horizontal="left" vertical="top" wrapText="1"/>
    </xf>
    <xf numFmtId="9" fontId="3" fillId="0" borderId="0" xfId="0" applyNumberFormat="1" applyFont="1" applyAlignment="1">
      <alignment horizontal="right" vertical="top"/>
    </xf>
    <xf numFmtId="0" fontId="3" fillId="2" borderId="1" xfId="0" applyFont="1" applyFill="1" applyBorder="1" applyAlignment="1">
      <alignment horizontal="center" vertical="top"/>
    </xf>
  </cellXfs>
  <cellStyles count="1">
    <cellStyle name="Normal" xfId="0" builtinId="0"/>
  </cellStyles>
  <dxfs count="3">
    <dxf>
      <fill>
        <patternFill patternType="solid">
          <bgColor rgb="FFFDECEA"/>
        </patternFill>
      </fill>
    </dxf>
    <dxf>
      <fill>
        <patternFill patternType="solid">
          <bgColor rgb="FFFDECEA"/>
        </patternFill>
      </fill>
    </dxf>
    <dxf>
      <fill>
        <patternFill patternType="solid">
          <bgColor rgb="FFE7F4E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workbookViewId="0" showGridLines="0"/>
  </sheetViews>
  <sheetFormatPr defaultRowHeight="15" outlineLevelRow="0" outlineLevelCol="0" x14ac:dyDescent="55"/>
  <cols>
    <col min="1" max="1" width="4" customWidth="1"/>
    <col min="2" max="2" width="112" customWidth="1"/>
  </cols>
  <sheetData>
    <row r="1" spans="2:2" x14ac:dyDescent="0.25">
      <c r="B1" s="1" t="s">
        <v>0</v>
      </c>
    </row>
    <row r="2" spans="2:2" x14ac:dyDescent="0.25">
      <c r="B2" s="2" t="s">
        <v>1</v>
      </c>
    </row>
    <row r="3" spans="2:2" x14ac:dyDescent="0.25">
      <c r="B3" s="3" t="s">
        <v>2</v>
      </c>
    </row>
    <row r="4" spans="2:2" x14ac:dyDescent="0.25">
      <c r="B4" s="4" t="s">
        <v>3</v>
      </c>
    </row>
    <row r="5" spans="2:2" x14ac:dyDescent="0.25">
      <c r="B5" s="3" t="s">
        <v>4</v>
      </c>
    </row>
    <row r="6" spans="2:2" x14ac:dyDescent="0.25">
      <c r="B6" s="3" t="s">
        <v>5</v>
      </c>
    </row>
    <row r="7" spans="2:2" x14ac:dyDescent="0.25">
      <c r="B7" s="3" t="s">
        <v>6</v>
      </c>
    </row>
    <row r="8" spans="2:2" x14ac:dyDescent="0.25">
      <c r="B8" s="3" t="s">
        <v>7</v>
      </c>
    </row>
    <row r="9" spans="2:2" x14ac:dyDescent="0.25">
      <c r="B9" s="3" t="s">
        <v>8</v>
      </c>
    </row>
    <row r="10" spans="2:2" x14ac:dyDescent="0.25">
      <c r="B10" s="3" t="s">
        <v>9</v>
      </c>
    </row>
    <row r="11" spans="2:2" x14ac:dyDescent="0.25">
      <c r="B11" s="3" t="s">
        <v>10</v>
      </c>
    </row>
    <row r="12" spans="2:2" x14ac:dyDescent="0.25">
      <c r="B12" s="3" t="s">
        <v>2</v>
      </c>
    </row>
    <row r="13" spans="2:2" x14ac:dyDescent="0.25">
      <c r="B13" s="5" t="s">
        <v>11</v>
      </c>
    </row>
    <row r="14" ht="45" customHeight="1" spans="2:2" x14ac:dyDescent="0.25">
      <c r="B14" s="3" t="s">
        <v>12</v>
      </c>
    </row>
    <row r="15" spans="2:2" x14ac:dyDescent="0.25">
      <c r="B15" s="3" t="s">
        <v>2</v>
      </c>
    </row>
    <row r="16" spans="2:2" x14ac:dyDescent="0.25">
      <c r="B16" s="4" t="s">
        <v>13</v>
      </c>
    </row>
    <row r="17" ht="75" customHeight="1" spans="2:2" x14ac:dyDescent="0.25">
      <c r="B17" s="3" t="s">
        <v>14</v>
      </c>
    </row>
    <row r="18" spans="2:2" x14ac:dyDescent="0.25">
      <c r="B18" s="3" t="s">
        <v>2</v>
      </c>
    </row>
    <row r="19" spans="2:2" x14ac:dyDescent="0.25">
      <c r="B19" s="4" t="s">
        <v>15</v>
      </c>
    </row>
    <row r="20" ht="30" customHeight="1" spans="2:2" x14ac:dyDescent="0.25">
      <c r="B20" s="3" t="s">
        <v>16</v>
      </c>
    </row>
    <row r="21" spans="2:2" x14ac:dyDescent="0.25">
      <c r="B21" s="3" t="s">
        <v>2</v>
      </c>
    </row>
    <row r="22" spans="2:2" x14ac:dyDescent="0.25">
      <c r="B22" s="4" t="s">
        <v>17</v>
      </c>
    </row>
    <row r="23" ht="30" customHeight="1" spans="2:2" x14ac:dyDescent="0.25">
      <c r="B23" s="3" t="s">
        <v>18</v>
      </c>
    </row>
    <row r="24" spans="2:2" x14ac:dyDescent="0.25">
      <c r="B24" s="3" t="s">
        <v>2</v>
      </c>
    </row>
    <row r="25" spans="2:2" x14ac:dyDescent="0.25">
      <c r="B25" s="6" t="s">
        <v>19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owGridLines="0"/>
  </sheetViews>
  <sheetFormatPr defaultRowHeight="15" outlineLevelRow="0" outlineLevelCol="0" x14ac:dyDescent="55"/>
  <cols>
    <col min="1" max="1" width="30" customWidth="1"/>
    <col min="2" max="2" width="48" customWidth="1"/>
    <col min="3" max="3" width="60" customWidth="1"/>
  </cols>
  <sheetData>
    <row r="1" ht="26" customHeight="1" spans="1:1" x14ac:dyDescent="0.25">
      <c r="A1" s="7" t="s">
        <v>20</v>
      </c>
    </row>
    <row r="2" spans="1:1" x14ac:dyDescent="0.25">
      <c r="A2" s="8" t="s">
        <v>21</v>
      </c>
    </row>
    <row r="3" spans="1:3" x14ac:dyDescent="0.25">
      <c r="A3" s="9" t="s">
        <v>22</v>
      </c>
      <c r="B3" s="10" t="s">
        <v>23</v>
      </c>
      <c r="C3" s="11" t="s">
        <v>24</v>
      </c>
    </row>
    <row r="4" spans="1:3" x14ac:dyDescent="0.25">
      <c r="A4" s="9" t="s">
        <v>25</v>
      </c>
      <c r="B4" s="10" t="s">
        <v>26</v>
      </c>
      <c r="C4" s="11" t="s">
        <v>27</v>
      </c>
    </row>
    <row r="5" spans="1:3" x14ac:dyDescent="0.25">
      <c r="A5" s="9" t="s">
        <v>28</v>
      </c>
      <c r="B5" s="10" t="s">
        <v>29</v>
      </c>
      <c r="C5" s="11" t="s">
        <v>30</v>
      </c>
    </row>
    <row r="6" spans="1:3" x14ac:dyDescent="0.25">
      <c r="A6" s="9" t="s">
        <v>31</v>
      </c>
      <c r="B6" s="10" t="s">
        <v>32</v>
      </c>
      <c r="C6" s="11" t="s">
        <v>33</v>
      </c>
    </row>
    <row r="7" spans="1:3" x14ac:dyDescent="0.25">
      <c r="A7" s="9" t="s">
        <v>34</v>
      </c>
      <c r="B7" s="10" t="s">
        <v>35</v>
      </c>
      <c r="C7" s="11" t="s">
        <v>33</v>
      </c>
    </row>
    <row r="9" spans="1:1" x14ac:dyDescent="0.25">
      <c r="A9" s="11" t="s">
        <v>36</v>
      </c>
    </row>
    <row r="11" spans="1:1" x14ac:dyDescent="0.25">
      <c r="A11" s="12" t="s">
        <v>19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6" customWidth="1"/>
    <col min="4" max="4" width="18" customWidth="1"/>
    <col min="5" max="5" width="16" customWidth="1"/>
    <col min="6" max="6" width="18" customWidth="1"/>
    <col min="7" max="7" width="22" customWidth="1"/>
    <col min="8" max="8" width="14" customWidth="1"/>
    <col min="9" max="9" width="16" customWidth="1"/>
  </cols>
  <sheetData>
    <row r="1" ht="32" customHeight="1" spans="1:9" x14ac:dyDescent="0.25">
      <c r="A1" s="13" t="s">
        <v>37</v>
      </c>
      <c r="B1" s="13" t="s">
        <v>38</v>
      </c>
      <c r="C1" s="13" t="s">
        <v>39</v>
      </c>
      <c r="D1" s="13" t="s">
        <v>40</v>
      </c>
      <c r="E1" s="13" t="s">
        <v>41</v>
      </c>
      <c r="F1" s="13" t="s">
        <v>42</v>
      </c>
      <c r="G1" s="13" t="s">
        <v>43</v>
      </c>
      <c r="H1" s="13" t="s">
        <v>44</v>
      </c>
      <c r="I1" s="13" t="s">
        <v>45</v>
      </c>
    </row>
    <row r="2" spans="1:9" x14ac:dyDescent="0.25">
      <c r="A2" s="14" t="s">
        <v>46</v>
      </c>
      <c r="B2" s="14" t="s">
        <v>47</v>
      </c>
      <c r="C2" s="14" t="s">
        <v>48</v>
      </c>
      <c r="D2" s="15" t="s">
        <v>49</v>
      </c>
      <c r="E2" s="16">
        <v>8450</v>
      </c>
      <c r="F2" s="16">
        <v>2112.5</v>
      </c>
      <c r="G2" s="15" t="s">
        <v>50</v>
      </c>
      <c r="H2" s="14" t="s">
        <v>51</v>
      </c>
      <c r="I2" s="14" t="s">
        <v>52</v>
      </c>
    </row>
    <row r="3" spans="1:9" x14ac:dyDescent="0.25">
      <c r="A3" s="14" t="s">
        <v>53</v>
      </c>
      <c r="B3" s="14" t="s">
        <v>54</v>
      </c>
      <c r="C3" s="14" t="s">
        <v>55</v>
      </c>
      <c r="D3" s="15" t="s">
        <v>56</v>
      </c>
      <c r="E3" s="16">
        <v>12300</v>
      </c>
      <c r="F3" s="16">
        <v>3075</v>
      </c>
      <c r="G3" s="15" t="s">
        <v>57</v>
      </c>
      <c r="H3" s="14" t="s">
        <v>51</v>
      </c>
      <c r="I3" s="14" t="s">
        <v>52</v>
      </c>
    </row>
    <row r="4" spans="1:9" x14ac:dyDescent="0.25">
      <c r="A4" s="14" t="s">
        <v>58</v>
      </c>
      <c r="B4" s="14" t="s">
        <v>59</v>
      </c>
      <c r="C4" s="14" t="s">
        <v>48</v>
      </c>
      <c r="D4" s="15" t="s">
        <v>60</v>
      </c>
      <c r="E4" s="16">
        <v>5200</v>
      </c>
      <c r="F4" s="16">
        <v>1300</v>
      </c>
      <c r="G4" s="15" t="s">
        <v>61</v>
      </c>
      <c r="H4" s="14" t="s">
        <v>62</v>
      </c>
      <c r="I4" s="14" t="s">
        <v>52</v>
      </c>
    </row>
    <row r="5" spans="1:9" x14ac:dyDescent="0.25">
      <c r="A5" s="14" t="s">
        <v>63</v>
      </c>
      <c r="B5" s="14" t="s">
        <v>2</v>
      </c>
      <c r="C5" s="14" t="s">
        <v>55</v>
      </c>
      <c r="D5" s="15" t="s">
        <v>64</v>
      </c>
      <c r="E5" s="16">
        <v>9800</v>
      </c>
      <c r="F5" s="16">
        <v>2450</v>
      </c>
      <c r="G5" s="15" t="s">
        <v>2</v>
      </c>
      <c r="H5" s="14" t="s">
        <v>2</v>
      </c>
      <c r="I5" s="14" t="s">
        <v>2</v>
      </c>
    </row>
    <row r="6" spans="1:9" x14ac:dyDescent="0.25">
      <c r="A6" s="10"/>
      <c r="B6" s="10"/>
      <c r="C6" s="10"/>
      <c r="D6" s="17"/>
      <c r="E6" s="18"/>
      <c r="F6" s="18"/>
      <c r="G6" s="17"/>
      <c r="H6" s="10"/>
      <c r="I6" s="10"/>
    </row>
    <row r="7" spans="1:9" x14ac:dyDescent="0.25">
      <c r="A7" s="10"/>
      <c r="B7" s="10"/>
      <c r="C7" s="10"/>
      <c r="D7" s="17"/>
      <c r="E7" s="18"/>
      <c r="F7" s="18"/>
      <c r="G7" s="17"/>
      <c r="H7" s="10"/>
      <c r="I7" s="10"/>
    </row>
    <row r="8" spans="1:9" x14ac:dyDescent="0.25">
      <c r="A8" s="10"/>
      <c r="B8" s="10"/>
      <c r="C8" s="10"/>
      <c r="D8" s="17"/>
      <c r="E8" s="18"/>
      <c r="F8" s="18"/>
      <c r="G8" s="17"/>
      <c r="H8" s="10"/>
      <c r="I8" s="10"/>
    </row>
    <row r="9" spans="1:9" x14ac:dyDescent="0.25">
      <c r="A9" s="10"/>
      <c r="B9" s="10"/>
      <c r="C9" s="10"/>
      <c r="D9" s="17"/>
      <c r="E9" s="18"/>
      <c r="F9" s="18"/>
      <c r="G9" s="17"/>
      <c r="H9" s="10"/>
      <c r="I9" s="10"/>
    </row>
    <row r="10" spans="1:9" x14ac:dyDescent="0.25">
      <c r="A10" s="10"/>
      <c r="B10" s="10"/>
      <c r="C10" s="10"/>
      <c r="D10" s="17"/>
      <c r="E10" s="18"/>
      <c r="F10" s="18"/>
      <c r="G10" s="17"/>
      <c r="H10" s="10"/>
      <c r="I10" s="10"/>
    </row>
    <row r="11" spans="1:9" x14ac:dyDescent="0.25">
      <c r="A11" s="10"/>
      <c r="B11" s="10"/>
      <c r="C11" s="10"/>
      <c r="D11" s="17"/>
      <c r="E11" s="18"/>
      <c r="F11" s="18"/>
      <c r="G11" s="17"/>
      <c r="H11" s="10"/>
      <c r="I11" s="10"/>
    </row>
    <row r="12" spans="1:9" x14ac:dyDescent="0.25">
      <c r="A12" s="10"/>
      <c r="B12" s="10"/>
      <c r="C12" s="10"/>
      <c r="D12" s="17"/>
      <c r="E12" s="18"/>
      <c r="F12" s="18"/>
      <c r="G12" s="17"/>
      <c r="H12" s="10"/>
      <c r="I12" s="10"/>
    </row>
    <row r="13" spans="1:9" x14ac:dyDescent="0.25">
      <c r="A13" s="10"/>
      <c r="B13" s="10"/>
      <c r="C13" s="10"/>
      <c r="D13" s="17"/>
      <c r="E13" s="18"/>
      <c r="F13" s="18"/>
      <c r="G13" s="17"/>
      <c r="H13" s="10"/>
      <c r="I13" s="10"/>
    </row>
    <row r="14" spans="1:9" x14ac:dyDescent="0.25">
      <c r="A14" s="10"/>
      <c r="B14" s="10"/>
      <c r="C14" s="10"/>
      <c r="D14" s="17"/>
      <c r="E14" s="18"/>
      <c r="F14" s="18"/>
      <c r="G14" s="17"/>
      <c r="H14" s="10"/>
      <c r="I14" s="10"/>
    </row>
    <row r="15" spans="1:9" x14ac:dyDescent="0.25">
      <c r="A15" s="10"/>
      <c r="B15" s="10"/>
      <c r="C15" s="10"/>
      <c r="D15" s="17"/>
      <c r="E15" s="18"/>
      <c r="F15" s="18"/>
      <c r="G15" s="17"/>
      <c r="H15" s="10"/>
      <c r="I15" s="10"/>
    </row>
    <row r="16" spans="1:9" x14ac:dyDescent="0.25">
      <c r="A16" s="10"/>
      <c r="B16" s="10"/>
      <c r="C16" s="10"/>
      <c r="D16" s="17"/>
      <c r="E16" s="18"/>
      <c r="F16" s="18"/>
      <c r="G16" s="17"/>
      <c r="H16" s="10"/>
      <c r="I16" s="10"/>
    </row>
    <row r="17" spans="1:9" x14ac:dyDescent="0.25">
      <c r="A17" s="10"/>
      <c r="B17" s="10"/>
      <c r="C17" s="10"/>
      <c r="D17" s="17"/>
      <c r="E17" s="18"/>
      <c r="F17" s="18"/>
      <c r="G17" s="17"/>
      <c r="H17" s="10"/>
      <c r="I17" s="10"/>
    </row>
    <row r="18" spans="1:9" x14ac:dyDescent="0.25">
      <c r="A18" s="10"/>
      <c r="B18" s="10"/>
      <c r="C18" s="10"/>
      <c r="D18" s="17"/>
      <c r="E18" s="18"/>
      <c r="F18" s="18"/>
      <c r="G18" s="17"/>
      <c r="H18" s="10"/>
      <c r="I18" s="10"/>
    </row>
    <row r="19" spans="1:9" x14ac:dyDescent="0.25">
      <c r="A19" s="10"/>
      <c r="B19" s="10"/>
      <c r="C19" s="10"/>
      <c r="D19" s="17"/>
      <c r="E19" s="18"/>
      <c r="F19" s="18"/>
      <c r="G19" s="17"/>
      <c r="H19" s="10"/>
      <c r="I19" s="10"/>
    </row>
    <row r="20" spans="1:9" x14ac:dyDescent="0.25">
      <c r="A20" s="10"/>
      <c r="B20" s="10"/>
      <c r="C20" s="10"/>
      <c r="D20" s="17"/>
      <c r="E20" s="18"/>
      <c r="F20" s="18"/>
      <c r="G20" s="17"/>
      <c r="H20" s="10"/>
      <c r="I20" s="10"/>
    </row>
    <row r="21" spans="1:9" x14ac:dyDescent="0.25">
      <c r="A21" s="10"/>
      <c r="B21" s="10"/>
      <c r="C21" s="10"/>
      <c r="D21" s="17"/>
      <c r="E21" s="18"/>
      <c r="F21" s="18"/>
      <c r="G21" s="17"/>
      <c r="H21" s="10"/>
      <c r="I21" s="10"/>
    </row>
    <row r="22" spans="1:9" x14ac:dyDescent="0.25">
      <c r="A22" s="10"/>
      <c r="B22" s="10"/>
      <c r="C22" s="10"/>
      <c r="D22" s="17"/>
      <c r="E22" s="18"/>
      <c r="F22" s="18"/>
      <c r="G22" s="17"/>
      <c r="H22" s="10"/>
      <c r="I22" s="10"/>
    </row>
    <row r="23" spans="1:9" x14ac:dyDescent="0.25">
      <c r="A23" s="10"/>
      <c r="B23" s="10"/>
      <c r="C23" s="10"/>
      <c r="D23" s="17"/>
      <c r="E23" s="18"/>
      <c r="F23" s="18"/>
      <c r="G23" s="17"/>
      <c r="H23" s="10"/>
      <c r="I23" s="10"/>
    </row>
    <row r="24" spans="1:9" x14ac:dyDescent="0.25">
      <c r="A24" s="10"/>
      <c r="B24" s="10"/>
      <c r="C24" s="10"/>
      <c r="D24" s="17"/>
      <c r="E24" s="18"/>
      <c r="F24" s="18"/>
      <c r="G24" s="17"/>
      <c r="H24" s="10"/>
      <c r="I24" s="10"/>
    </row>
    <row r="25" spans="1:9" x14ac:dyDescent="0.25">
      <c r="A25" s="10"/>
      <c r="B25" s="10"/>
      <c r="C25" s="10"/>
      <c r="D25" s="17"/>
      <c r="E25" s="18"/>
      <c r="F25" s="18"/>
      <c r="G25" s="17"/>
      <c r="H25" s="10"/>
      <c r="I25" s="10"/>
    </row>
    <row r="26" spans="1:9" x14ac:dyDescent="0.25">
      <c r="A26" s="10"/>
      <c r="B26" s="10"/>
      <c r="C26" s="10"/>
      <c r="D26" s="17"/>
      <c r="E26" s="18"/>
      <c r="F26" s="18"/>
      <c r="G26" s="17"/>
      <c r="H26" s="10"/>
      <c r="I26" s="10"/>
    </row>
    <row r="27" spans="1:9" x14ac:dyDescent="0.25">
      <c r="A27" s="10"/>
      <c r="B27" s="10"/>
      <c r="C27" s="10"/>
      <c r="D27" s="17"/>
      <c r="E27" s="18"/>
      <c r="F27" s="18"/>
      <c r="G27" s="17"/>
      <c r="H27" s="10"/>
      <c r="I27" s="10"/>
    </row>
    <row r="28" spans="1:9" x14ac:dyDescent="0.25">
      <c r="A28" s="10"/>
      <c r="B28" s="10"/>
      <c r="C28" s="10"/>
      <c r="D28" s="17"/>
      <c r="E28" s="18"/>
      <c r="F28" s="18"/>
      <c r="G28" s="17"/>
      <c r="H28" s="10"/>
      <c r="I28" s="10"/>
    </row>
    <row r="29" spans="1:9" x14ac:dyDescent="0.25">
      <c r="A29" s="10"/>
      <c r="B29" s="10"/>
      <c r="C29" s="10"/>
      <c r="D29" s="17"/>
      <c r="E29" s="18"/>
      <c r="F29" s="18"/>
      <c r="G29" s="17"/>
      <c r="H29" s="10"/>
      <c r="I29" s="10"/>
    </row>
    <row r="30" spans="1:9" x14ac:dyDescent="0.25">
      <c r="A30" s="10"/>
      <c r="B30" s="10"/>
      <c r="C30" s="10"/>
      <c r="D30" s="17"/>
      <c r="E30" s="18"/>
      <c r="F30" s="18"/>
      <c r="G30" s="17"/>
      <c r="H30" s="10"/>
      <c r="I30" s="10"/>
    </row>
    <row r="31" spans="1:9" x14ac:dyDescent="0.25">
      <c r="A31" s="10"/>
      <c r="B31" s="10"/>
      <c r="C31" s="10"/>
      <c r="D31" s="17"/>
      <c r="E31" s="18"/>
      <c r="F31" s="18"/>
      <c r="G31" s="17"/>
      <c r="H31" s="10"/>
      <c r="I31" s="10"/>
    </row>
    <row r="32" spans="1:9" x14ac:dyDescent="0.25">
      <c r="A32" s="10"/>
      <c r="B32" s="10"/>
      <c r="C32" s="10"/>
      <c r="D32" s="17"/>
      <c r="E32" s="18"/>
      <c r="F32" s="18"/>
      <c r="G32" s="17"/>
      <c r="H32" s="10"/>
      <c r="I32" s="10"/>
    </row>
    <row r="33" spans="1:9" x14ac:dyDescent="0.25">
      <c r="A33" s="10"/>
      <c r="B33" s="10"/>
      <c r="C33" s="10"/>
      <c r="D33" s="17"/>
      <c r="E33" s="18"/>
      <c r="F33" s="18"/>
      <c r="G33" s="17"/>
      <c r="H33" s="10"/>
      <c r="I33" s="10"/>
    </row>
    <row r="34" spans="1:9" x14ac:dyDescent="0.25">
      <c r="A34" s="10"/>
      <c r="B34" s="10"/>
      <c r="C34" s="10"/>
      <c r="D34" s="17"/>
      <c r="E34" s="18"/>
      <c r="F34" s="18"/>
      <c r="G34" s="17"/>
      <c r="H34" s="10"/>
      <c r="I34" s="10"/>
    </row>
    <row r="35" spans="1:9" x14ac:dyDescent="0.25">
      <c r="A35" s="10"/>
      <c r="B35" s="10"/>
      <c r="C35" s="10"/>
      <c r="D35" s="17"/>
      <c r="E35" s="18"/>
      <c r="F35" s="18"/>
      <c r="G35" s="17"/>
      <c r="H35" s="10"/>
      <c r="I35" s="10"/>
    </row>
    <row r="36" spans="1:9" x14ac:dyDescent="0.25">
      <c r="A36" s="10"/>
      <c r="B36" s="10"/>
      <c r="C36" s="10"/>
      <c r="D36" s="17"/>
      <c r="E36" s="18"/>
      <c r="F36" s="18"/>
      <c r="G36" s="17"/>
      <c r="H36" s="10"/>
      <c r="I36" s="10"/>
    </row>
    <row r="37" spans="1:9" x14ac:dyDescent="0.25">
      <c r="A37" s="10"/>
      <c r="B37" s="10"/>
      <c r="C37" s="10"/>
      <c r="D37" s="17"/>
      <c r="E37" s="18"/>
      <c r="F37" s="18"/>
      <c r="G37" s="17"/>
      <c r="H37" s="10"/>
      <c r="I37" s="10"/>
    </row>
    <row r="38" spans="1:9" x14ac:dyDescent="0.25">
      <c r="A38" s="10"/>
      <c r="B38" s="10"/>
      <c r="C38" s="10"/>
      <c r="D38" s="17"/>
      <c r="E38" s="18"/>
      <c r="F38" s="18"/>
      <c r="G38" s="17"/>
      <c r="H38" s="10"/>
      <c r="I38" s="10"/>
    </row>
    <row r="39" spans="1:9" x14ac:dyDescent="0.25">
      <c r="A39" s="10"/>
      <c r="B39" s="10"/>
      <c r="C39" s="10"/>
      <c r="D39" s="17"/>
      <c r="E39" s="18"/>
      <c r="F39" s="18"/>
      <c r="G39" s="17"/>
      <c r="H39" s="10"/>
      <c r="I39" s="10"/>
    </row>
    <row r="40" spans="1:9" x14ac:dyDescent="0.25">
      <c r="A40" s="10"/>
      <c r="B40" s="10"/>
      <c r="C40" s="10"/>
      <c r="D40" s="17"/>
      <c r="E40" s="18"/>
      <c r="F40" s="18"/>
      <c r="G40" s="17"/>
      <c r="H40" s="10"/>
      <c r="I40" s="10"/>
    </row>
    <row r="41" spans="1:9" x14ac:dyDescent="0.25">
      <c r="A41" s="10"/>
      <c r="B41" s="10"/>
      <c r="C41" s="10"/>
      <c r="D41" s="17"/>
      <c r="E41" s="18"/>
      <c r="F41" s="18"/>
      <c r="G41" s="17"/>
      <c r="H41" s="10"/>
      <c r="I41" s="10"/>
    </row>
    <row r="42" spans="1:9" x14ac:dyDescent="0.25">
      <c r="A42" s="10"/>
      <c r="B42" s="10"/>
      <c r="C42" s="10"/>
      <c r="D42" s="17"/>
      <c r="E42" s="18"/>
      <c r="F42" s="18"/>
      <c r="G42" s="17"/>
      <c r="H42" s="10"/>
      <c r="I42" s="10"/>
    </row>
    <row r="43" spans="1:9" x14ac:dyDescent="0.25">
      <c r="A43" s="10"/>
      <c r="B43" s="10"/>
      <c r="C43" s="10"/>
      <c r="D43" s="17"/>
      <c r="E43" s="18"/>
      <c r="F43" s="18"/>
      <c r="G43" s="17"/>
      <c r="H43" s="10"/>
      <c r="I43" s="10"/>
    </row>
    <row r="44" spans="1:9" x14ac:dyDescent="0.25">
      <c r="A44" s="10"/>
      <c r="B44" s="10"/>
      <c r="C44" s="10"/>
      <c r="D44" s="17"/>
      <c r="E44" s="18"/>
      <c r="F44" s="18"/>
      <c r="G44" s="17"/>
      <c r="H44" s="10"/>
      <c r="I44" s="10"/>
    </row>
    <row r="45" spans="1:9" x14ac:dyDescent="0.25">
      <c r="A45" s="10"/>
      <c r="B45" s="10"/>
      <c r="C45" s="10"/>
      <c r="D45" s="17"/>
      <c r="E45" s="18"/>
      <c r="F45" s="18"/>
      <c r="G45" s="17"/>
      <c r="H45" s="10"/>
      <c r="I45" s="10"/>
    </row>
    <row r="46" spans="1:9" x14ac:dyDescent="0.25">
      <c r="A46" s="10"/>
      <c r="B46" s="10"/>
      <c r="C46" s="10"/>
      <c r="D46" s="17"/>
      <c r="E46" s="18"/>
      <c r="F46" s="18"/>
      <c r="G46" s="17"/>
      <c r="H46" s="10"/>
      <c r="I46" s="10"/>
    </row>
    <row r="47" spans="1:9" x14ac:dyDescent="0.25">
      <c r="A47" s="10"/>
      <c r="B47" s="10"/>
      <c r="C47" s="10"/>
      <c r="D47" s="17"/>
      <c r="E47" s="18"/>
      <c r="F47" s="18"/>
      <c r="G47" s="17"/>
      <c r="H47" s="10"/>
      <c r="I47" s="10"/>
    </row>
    <row r="48" spans="1:9" x14ac:dyDescent="0.25">
      <c r="A48" s="10"/>
      <c r="B48" s="10"/>
      <c r="C48" s="10"/>
      <c r="D48" s="17"/>
      <c r="E48" s="18"/>
      <c r="F48" s="18"/>
      <c r="G48" s="17"/>
      <c r="H48" s="10"/>
      <c r="I48" s="10"/>
    </row>
    <row r="49" spans="1:9" x14ac:dyDescent="0.25">
      <c r="A49" s="10"/>
      <c r="B49" s="10"/>
      <c r="C49" s="10"/>
      <c r="D49" s="17"/>
      <c r="E49" s="18"/>
      <c r="F49" s="18"/>
      <c r="G49" s="17"/>
      <c r="H49" s="10"/>
      <c r="I49" s="10"/>
    </row>
    <row r="50" spans="1:9" x14ac:dyDescent="0.25">
      <c r="A50" s="10"/>
      <c r="B50" s="10"/>
      <c r="C50" s="10"/>
      <c r="D50" s="17"/>
      <c r="E50" s="18"/>
      <c r="F50" s="18"/>
      <c r="G50" s="17"/>
      <c r="H50" s="10"/>
      <c r="I50" s="10"/>
    </row>
    <row r="51" spans="1:9" x14ac:dyDescent="0.25">
      <c r="A51" s="10"/>
      <c r="B51" s="10"/>
      <c r="C51" s="10"/>
      <c r="D51" s="17"/>
      <c r="E51" s="18"/>
      <c r="F51" s="18"/>
      <c r="G51" s="17"/>
      <c r="H51" s="10"/>
      <c r="I51" s="10"/>
    </row>
    <row r="52" spans="1:9" x14ac:dyDescent="0.25">
      <c r="A52" s="10"/>
      <c r="B52" s="10"/>
      <c r="C52" s="10"/>
      <c r="D52" s="17"/>
      <c r="E52" s="18"/>
      <c r="F52" s="18"/>
      <c r="G52" s="17"/>
      <c r="H52" s="10"/>
      <c r="I52" s="10"/>
    </row>
    <row r="53" spans="1:9" x14ac:dyDescent="0.25">
      <c r="A53" s="10"/>
      <c r="B53" s="10"/>
      <c r="C53" s="10"/>
      <c r="D53" s="17"/>
      <c r="E53" s="18"/>
      <c r="F53" s="18"/>
      <c r="G53" s="17"/>
      <c r="H53" s="10"/>
      <c r="I53" s="10"/>
    </row>
    <row r="54" spans="1:9" x14ac:dyDescent="0.25">
      <c r="A54" s="10"/>
      <c r="B54" s="10"/>
      <c r="C54" s="10"/>
      <c r="D54" s="17"/>
      <c r="E54" s="18"/>
      <c r="F54" s="18"/>
      <c r="G54" s="17"/>
      <c r="H54" s="10"/>
      <c r="I54" s="10"/>
    </row>
    <row r="55" spans="1:9" x14ac:dyDescent="0.25">
      <c r="A55" s="10"/>
      <c r="B55" s="10"/>
      <c r="C55" s="10"/>
      <c r="D55" s="17"/>
      <c r="E55" s="18"/>
      <c r="F55" s="18"/>
      <c r="G55" s="17"/>
      <c r="H55" s="10"/>
      <c r="I55" s="10"/>
    </row>
    <row r="56" spans="1:9" x14ac:dyDescent="0.25">
      <c r="A56" s="10"/>
      <c r="B56" s="10"/>
      <c r="C56" s="10"/>
      <c r="D56" s="17"/>
      <c r="E56" s="18"/>
      <c r="F56" s="18"/>
      <c r="G56" s="17"/>
      <c r="H56" s="10"/>
      <c r="I56" s="10"/>
    </row>
    <row r="57" spans="1:9" x14ac:dyDescent="0.25">
      <c r="A57" s="10"/>
      <c r="B57" s="10"/>
      <c r="C57" s="10"/>
      <c r="D57" s="17"/>
      <c r="E57" s="18"/>
      <c r="F57" s="18"/>
      <c r="G57" s="17"/>
      <c r="H57" s="10"/>
      <c r="I57" s="10"/>
    </row>
    <row r="58" spans="1:9" x14ac:dyDescent="0.25">
      <c r="A58" s="10"/>
      <c r="B58" s="10"/>
      <c r="C58" s="10"/>
      <c r="D58" s="17"/>
      <c r="E58" s="18"/>
      <c r="F58" s="18"/>
      <c r="G58" s="17"/>
      <c r="H58" s="10"/>
      <c r="I58" s="10"/>
    </row>
    <row r="59" spans="1:9" x14ac:dyDescent="0.25">
      <c r="A59" s="10"/>
      <c r="B59" s="10"/>
      <c r="C59" s="10"/>
      <c r="D59" s="17"/>
      <c r="E59" s="18"/>
      <c r="F59" s="18"/>
      <c r="G59" s="17"/>
      <c r="H59" s="10"/>
      <c r="I59" s="10"/>
    </row>
    <row r="60" spans="1:9" x14ac:dyDescent="0.25">
      <c r="A60" s="10"/>
      <c r="B60" s="10"/>
      <c r="C60" s="10"/>
      <c r="D60" s="17"/>
      <c r="E60" s="18"/>
      <c r="F60" s="18"/>
      <c r="G60" s="17"/>
      <c r="H60" s="10"/>
      <c r="I60" s="10"/>
    </row>
    <row r="61" spans="1:9" x14ac:dyDescent="0.25">
      <c r="A61" s="10"/>
      <c r="B61" s="10"/>
      <c r="C61" s="10"/>
      <c r="D61" s="17"/>
      <c r="E61" s="18"/>
      <c r="F61" s="18"/>
      <c r="G61" s="17"/>
      <c r="H61" s="10"/>
      <c r="I61" s="10"/>
    </row>
    <row r="62" spans="1:9" x14ac:dyDescent="0.25">
      <c r="A62" s="10"/>
      <c r="B62" s="10"/>
      <c r="C62" s="10"/>
      <c r="D62" s="17"/>
      <c r="E62" s="18"/>
      <c r="F62" s="18"/>
      <c r="G62" s="17"/>
      <c r="H62" s="10"/>
      <c r="I62" s="10"/>
    </row>
    <row r="63" spans="1:9" x14ac:dyDescent="0.25">
      <c r="A63" s="10"/>
      <c r="B63" s="10"/>
      <c r="C63" s="10"/>
      <c r="D63" s="17"/>
      <c r="E63" s="18"/>
      <c r="F63" s="18"/>
      <c r="G63" s="17"/>
      <c r="H63" s="10"/>
      <c r="I63" s="10"/>
    </row>
    <row r="64" spans="1:9" x14ac:dyDescent="0.25">
      <c r="A64" s="10"/>
      <c r="B64" s="10"/>
      <c r="C64" s="10"/>
      <c r="D64" s="17"/>
      <c r="E64" s="18"/>
      <c r="F64" s="18"/>
      <c r="G64" s="17"/>
      <c r="H64" s="10"/>
      <c r="I64" s="10"/>
    </row>
    <row r="65" spans="1:9" x14ac:dyDescent="0.25">
      <c r="A65" s="10"/>
      <c r="B65" s="10"/>
      <c r="C65" s="10"/>
      <c r="D65" s="17"/>
      <c r="E65" s="18"/>
      <c r="F65" s="18"/>
      <c r="G65" s="17"/>
      <c r="H65" s="10"/>
      <c r="I65" s="10"/>
    </row>
    <row r="66" spans="1:9" x14ac:dyDescent="0.25">
      <c r="A66" s="10"/>
      <c r="B66" s="10"/>
      <c r="C66" s="10"/>
      <c r="D66" s="17"/>
      <c r="E66" s="18"/>
      <c r="F66" s="18"/>
      <c r="G66" s="17"/>
      <c r="H66" s="10"/>
      <c r="I66" s="10"/>
    </row>
    <row r="67" spans="1:9" x14ac:dyDescent="0.25">
      <c r="A67" s="10"/>
      <c r="B67" s="10"/>
      <c r="C67" s="10"/>
      <c r="D67" s="17"/>
      <c r="E67" s="18"/>
      <c r="F67" s="18"/>
      <c r="G67" s="17"/>
      <c r="H67" s="10"/>
      <c r="I67" s="10"/>
    </row>
    <row r="68" spans="1:9" x14ac:dyDescent="0.25">
      <c r="A68" s="10"/>
      <c r="B68" s="10"/>
      <c r="C68" s="10"/>
      <c r="D68" s="17"/>
      <c r="E68" s="18"/>
      <c r="F68" s="18"/>
      <c r="G68" s="17"/>
      <c r="H68" s="10"/>
      <c r="I68" s="10"/>
    </row>
    <row r="69" spans="1:9" x14ac:dyDescent="0.25">
      <c r="A69" s="10"/>
      <c r="B69" s="10"/>
      <c r="C69" s="10"/>
      <c r="D69" s="17"/>
      <c r="E69" s="18"/>
      <c r="F69" s="18"/>
      <c r="G69" s="17"/>
      <c r="H69" s="10"/>
      <c r="I69" s="10"/>
    </row>
    <row r="70" spans="1:9" x14ac:dyDescent="0.25">
      <c r="A70" s="10"/>
      <c r="B70" s="10"/>
      <c r="C70" s="10"/>
      <c r="D70" s="17"/>
      <c r="E70" s="18"/>
      <c r="F70" s="18"/>
      <c r="G70" s="17"/>
      <c r="H70" s="10"/>
      <c r="I70" s="10"/>
    </row>
    <row r="71" spans="1:9" x14ac:dyDescent="0.25">
      <c r="A71" s="10"/>
      <c r="B71" s="10"/>
      <c r="C71" s="10"/>
      <c r="D71" s="17"/>
      <c r="E71" s="18"/>
      <c r="F71" s="18"/>
      <c r="G71" s="17"/>
      <c r="H71" s="10"/>
      <c r="I71" s="10"/>
    </row>
    <row r="72" spans="1:9" x14ac:dyDescent="0.25">
      <c r="A72" s="10"/>
      <c r="B72" s="10"/>
      <c r="C72" s="10"/>
      <c r="D72" s="17"/>
      <c r="E72" s="18"/>
      <c r="F72" s="18"/>
      <c r="G72" s="17"/>
      <c r="H72" s="10"/>
      <c r="I72" s="10"/>
    </row>
    <row r="73" spans="1:9" x14ac:dyDescent="0.25">
      <c r="A73" s="10"/>
      <c r="B73" s="10"/>
      <c r="C73" s="10"/>
      <c r="D73" s="17"/>
      <c r="E73" s="18"/>
      <c r="F73" s="18"/>
      <c r="G73" s="17"/>
      <c r="H73" s="10"/>
      <c r="I73" s="10"/>
    </row>
    <row r="74" spans="1:9" x14ac:dyDescent="0.25">
      <c r="A74" s="10"/>
      <c r="B74" s="10"/>
      <c r="C74" s="10"/>
      <c r="D74" s="17"/>
      <c r="E74" s="18"/>
      <c r="F74" s="18"/>
      <c r="G74" s="17"/>
      <c r="H74" s="10"/>
      <c r="I74" s="10"/>
    </row>
    <row r="75" spans="1:9" x14ac:dyDescent="0.25">
      <c r="A75" s="10"/>
      <c r="B75" s="10"/>
      <c r="C75" s="10"/>
      <c r="D75" s="17"/>
      <c r="E75" s="18"/>
      <c r="F75" s="18"/>
      <c r="G75" s="17"/>
      <c r="H75" s="10"/>
      <c r="I75" s="10"/>
    </row>
    <row r="76" spans="1:9" x14ac:dyDescent="0.25">
      <c r="A76" s="10"/>
      <c r="B76" s="10"/>
      <c r="C76" s="10"/>
      <c r="D76" s="17"/>
      <c r="E76" s="18"/>
      <c r="F76" s="18"/>
      <c r="G76" s="17"/>
      <c r="H76" s="10"/>
      <c r="I76" s="10"/>
    </row>
    <row r="77" spans="1:9" x14ac:dyDescent="0.25">
      <c r="A77" s="10"/>
      <c r="B77" s="10"/>
      <c r="C77" s="10"/>
      <c r="D77" s="17"/>
      <c r="E77" s="18"/>
      <c r="F77" s="18"/>
      <c r="G77" s="17"/>
      <c r="H77" s="10"/>
      <c r="I77" s="10"/>
    </row>
    <row r="78" spans="1:9" x14ac:dyDescent="0.25">
      <c r="A78" s="10"/>
      <c r="B78" s="10"/>
      <c r="C78" s="10"/>
      <c r="D78" s="17"/>
      <c r="E78" s="18"/>
      <c r="F78" s="18"/>
      <c r="G78" s="17"/>
      <c r="H78" s="10"/>
      <c r="I78" s="10"/>
    </row>
    <row r="79" spans="1:9" x14ac:dyDescent="0.25">
      <c r="A79" s="10"/>
      <c r="B79" s="10"/>
      <c r="C79" s="10"/>
      <c r="D79" s="17"/>
      <c r="E79" s="18"/>
      <c r="F79" s="18"/>
      <c r="G79" s="17"/>
      <c r="H79" s="10"/>
      <c r="I79" s="10"/>
    </row>
    <row r="80" spans="1:9" x14ac:dyDescent="0.25">
      <c r="A80" s="10"/>
      <c r="B80" s="10"/>
      <c r="C80" s="10"/>
      <c r="D80" s="17"/>
      <c r="E80" s="18"/>
      <c r="F80" s="18"/>
      <c r="G80" s="17"/>
      <c r="H80" s="10"/>
      <c r="I80" s="10"/>
    </row>
    <row r="81" spans="1:9" x14ac:dyDescent="0.25">
      <c r="A81" s="10"/>
      <c r="B81" s="10"/>
      <c r="C81" s="10"/>
      <c r="D81" s="17"/>
      <c r="E81" s="18"/>
      <c r="F81" s="18"/>
      <c r="G81" s="17"/>
      <c r="H81" s="10"/>
      <c r="I81" s="10"/>
    </row>
    <row r="82" spans="1:9" x14ac:dyDescent="0.25">
      <c r="A82" s="10"/>
      <c r="B82" s="10"/>
      <c r="C82" s="10"/>
      <c r="D82" s="17"/>
      <c r="E82" s="18"/>
      <c r="F82" s="18"/>
      <c r="G82" s="17"/>
      <c r="H82" s="10"/>
      <c r="I82" s="10"/>
    </row>
    <row r="83" spans="1:9" x14ac:dyDescent="0.25">
      <c r="A83" s="10"/>
      <c r="B83" s="10"/>
      <c r="C83" s="10"/>
      <c r="D83" s="17"/>
      <c r="E83" s="18"/>
      <c r="F83" s="18"/>
      <c r="G83" s="17"/>
      <c r="H83" s="10"/>
      <c r="I83" s="10"/>
    </row>
    <row r="84" spans="1:9" x14ac:dyDescent="0.25">
      <c r="A84" s="10"/>
      <c r="B84" s="10"/>
      <c r="C84" s="10"/>
      <c r="D84" s="17"/>
      <c r="E84" s="18"/>
      <c r="F84" s="18"/>
      <c r="G84" s="17"/>
      <c r="H84" s="10"/>
      <c r="I84" s="10"/>
    </row>
    <row r="85" spans="1:9" x14ac:dyDescent="0.25">
      <c r="A85" s="10"/>
      <c r="B85" s="10"/>
      <c r="C85" s="10"/>
      <c r="D85" s="17"/>
      <c r="E85" s="18"/>
      <c r="F85" s="18"/>
      <c r="G85" s="17"/>
      <c r="H85" s="10"/>
      <c r="I85" s="10"/>
    </row>
    <row r="86" spans="1:9" x14ac:dyDescent="0.25">
      <c r="A86" s="10"/>
      <c r="B86" s="10"/>
      <c r="C86" s="10"/>
      <c r="D86" s="17"/>
      <c r="E86" s="18"/>
      <c r="F86" s="18"/>
      <c r="G86" s="17"/>
      <c r="H86" s="10"/>
      <c r="I86" s="10"/>
    </row>
    <row r="87" spans="1:9" x14ac:dyDescent="0.25">
      <c r="A87" s="10"/>
      <c r="B87" s="10"/>
      <c r="C87" s="10"/>
      <c r="D87" s="17"/>
      <c r="E87" s="18"/>
      <c r="F87" s="18"/>
      <c r="G87" s="17"/>
      <c r="H87" s="10"/>
      <c r="I87" s="10"/>
    </row>
    <row r="88" spans="1:9" x14ac:dyDescent="0.25">
      <c r="A88" s="10"/>
      <c r="B88" s="10"/>
      <c r="C88" s="10"/>
      <c r="D88" s="17"/>
      <c r="E88" s="18"/>
      <c r="F88" s="18"/>
      <c r="G88" s="17"/>
      <c r="H88" s="10"/>
      <c r="I88" s="10"/>
    </row>
    <row r="89" spans="1:9" x14ac:dyDescent="0.25">
      <c r="A89" s="10"/>
      <c r="B89" s="10"/>
      <c r="C89" s="10"/>
      <c r="D89" s="17"/>
      <c r="E89" s="18"/>
      <c r="F89" s="18"/>
      <c r="G89" s="17"/>
      <c r="H89" s="10"/>
      <c r="I89" s="10"/>
    </row>
    <row r="90" spans="1:9" x14ac:dyDescent="0.25">
      <c r="A90" s="10"/>
      <c r="B90" s="10"/>
      <c r="C90" s="10"/>
      <c r="D90" s="17"/>
      <c r="E90" s="18"/>
      <c r="F90" s="18"/>
      <c r="G90" s="17"/>
      <c r="H90" s="10"/>
      <c r="I90" s="10"/>
    </row>
    <row r="91" spans="1:9" x14ac:dyDescent="0.25">
      <c r="A91" s="10"/>
      <c r="B91" s="10"/>
      <c r="C91" s="10"/>
      <c r="D91" s="17"/>
      <c r="E91" s="18"/>
      <c r="F91" s="18"/>
      <c r="G91" s="17"/>
      <c r="H91" s="10"/>
      <c r="I91" s="10"/>
    </row>
    <row r="92" spans="1:9" x14ac:dyDescent="0.25">
      <c r="A92" s="10"/>
      <c r="B92" s="10"/>
      <c r="C92" s="10"/>
      <c r="D92" s="17"/>
      <c r="E92" s="18"/>
      <c r="F92" s="18"/>
      <c r="G92" s="17"/>
      <c r="H92" s="10"/>
      <c r="I92" s="10"/>
    </row>
    <row r="93" spans="1:9" x14ac:dyDescent="0.25">
      <c r="A93" s="10"/>
      <c r="B93" s="10"/>
      <c r="C93" s="10"/>
      <c r="D93" s="17"/>
      <c r="E93" s="18"/>
      <c r="F93" s="18"/>
      <c r="G93" s="17"/>
      <c r="H93" s="10"/>
      <c r="I93" s="10"/>
    </row>
    <row r="94" spans="1:9" x14ac:dyDescent="0.25">
      <c r="A94" s="10"/>
      <c r="B94" s="10"/>
      <c r="C94" s="10"/>
      <c r="D94" s="17"/>
      <c r="E94" s="18"/>
      <c r="F94" s="18"/>
      <c r="G94" s="17"/>
      <c r="H94" s="10"/>
      <c r="I94" s="10"/>
    </row>
    <row r="95" spans="1:9" x14ac:dyDescent="0.25">
      <c r="A95" s="10"/>
      <c r="B95" s="10"/>
      <c r="C95" s="10"/>
      <c r="D95" s="17"/>
      <c r="E95" s="18"/>
      <c r="F95" s="18"/>
      <c r="G95" s="17"/>
      <c r="H95" s="10"/>
      <c r="I95" s="10"/>
    </row>
    <row r="96" spans="1:9" x14ac:dyDescent="0.25">
      <c r="A96" s="10"/>
      <c r="B96" s="10"/>
      <c r="C96" s="10"/>
      <c r="D96" s="17"/>
      <c r="E96" s="18"/>
      <c r="F96" s="18"/>
      <c r="G96" s="17"/>
      <c r="H96" s="10"/>
      <c r="I96" s="10"/>
    </row>
    <row r="97" spans="1:9" x14ac:dyDescent="0.25">
      <c r="A97" s="10"/>
      <c r="B97" s="10"/>
      <c r="C97" s="10"/>
      <c r="D97" s="17"/>
      <c r="E97" s="18"/>
      <c r="F97" s="18"/>
      <c r="G97" s="17"/>
      <c r="H97" s="10"/>
      <c r="I97" s="10"/>
    </row>
    <row r="98" spans="1:9" x14ac:dyDescent="0.25">
      <c r="A98" s="10"/>
      <c r="B98" s="10"/>
      <c r="C98" s="10"/>
      <c r="D98" s="17"/>
      <c r="E98" s="18"/>
      <c r="F98" s="18"/>
      <c r="G98" s="17"/>
      <c r="H98" s="10"/>
      <c r="I98" s="10"/>
    </row>
    <row r="99" spans="1:9" x14ac:dyDescent="0.25">
      <c r="A99" s="10"/>
      <c r="B99" s="10"/>
      <c r="C99" s="10"/>
      <c r="D99" s="17"/>
      <c r="E99" s="18"/>
      <c r="F99" s="18"/>
      <c r="G99" s="17"/>
      <c r="H99" s="10"/>
      <c r="I99" s="10"/>
    </row>
    <row r="100" spans="1:9" x14ac:dyDescent="0.25">
      <c r="A100" s="10"/>
      <c r="B100" s="10"/>
      <c r="C100" s="10"/>
      <c r="D100" s="17"/>
      <c r="E100" s="18"/>
      <c r="F100" s="18"/>
      <c r="G100" s="17"/>
      <c r="H100" s="10"/>
      <c r="I100" s="10"/>
    </row>
    <row r="101" spans="1:9" x14ac:dyDescent="0.25">
      <c r="A101" s="10"/>
      <c r="B101" s="10"/>
      <c r="C101" s="10"/>
      <c r="D101" s="17"/>
      <c r="E101" s="18"/>
      <c r="F101" s="18"/>
      <c r="G101" s="17"/>
      <c r="H101" s="10"/>
      <c r="I101" s="10"/>
    </row>
    <row r="102" spans="1:9" x14ac:dyDescent="0.25">
      <c r="A102" s="10"/>
      <c r="B102" s="10"/>
      <c r="C102" s="10"/>
      <c r="D102" s="17"/>
      <c r="E102" s="18"/>
      <c r="F102" s="18"/>
      <c r="G102" s="17"/>
      <c r="H102" s="10"/>
      <c r="I102" s="10"/>
    </row>
    <row r="103" spans="1:9" x14ac:dyDescent="0.25">
      <c r="A103" s="10"/>
      <c r="B103" s="10"/>
      <c r="C103" s="10"/>
      <c r="D103" s="17"/>
      <c r="E103" s="18"/>
      <c r="F103" s="18"/>
      <c r="G103" s="17"/>
      <c r="H103" s="10"/>
      <c r="I103" s="10"/>
    </row>
    <row r="104" spans="1:9" x14ac:dyDescent="0.25">
      <c r="A104" s="10"/>
      <c r="B104" s="10"/>
      <c r="C104" s="10"/>
      <c r="D104" s="17"/>
      <c r="E104" s="18"/>
      <c r="F104" s="18"/>
      <c r="G104" s="17"/>
      <c r="H104" s="10"/>
      <c r="I104" s="10"/>
    </row>
    <row r="105" spans="1:9" x14ac:dyDescent="0.25">
      <c r="A105" s="10"/>
      <c r="B105" s="10"/>
      <c r="C105" s="10"/>
      <c r="D105" s="17"/>
      <c r="E105" s="18"/>
      <c r="F105" s="18"/>
      <c r="G105" s="17"/>
      <c r="H105" s="10"/>
      <c r="I105" s="10"/>
    </row>
    <row r="106" spans="1:9" x14ac:dyDescent="0.25">
      <c r="A106" s="10"/>
      <c r="B106" s="10"/>
      <c r="C106" s="10"/>
      <c r="D106" s="17"/>
      <c r="E106" s="18"/>
      <c r="F106" s="18"/>
      <c r="G106" s="17"/>
      <c r="H106" s="10"/>
      <c r="I106" s="10"/>
    </row>
    <row r="107" spans="1:9" x14ac:dyDescent="0.25">
      <c r="A107" s="10"/>
      <c r="B107" s="10"/>
      <c r="C107" s="10"/>
      <c r="D107" s="17"/>
      <c r="E107" s="18"/>
      <c r="F107" s="18"/>
      <c r="G107" s="17"/>
      <c r="H107" s="10"/>
      <c r="I107" s="10"/>
    </row>
    <row r="108" spans="1:9" x14ac:dyDescent="0.25">
      <c r="A108" s="10"/>
      <c r="B108" s="10"/>
      <c r="C108" s="10"/>
      <c r="D108" s="17"/>
      <c r="E108" s="18"/>
      <c r="F108" s="18"/>
      <c r="G108" s="17"/>
      <c r="H108" s="10"/>
      <c r="I108" s="10"/>
    </row>
    <row r="109" spans="1:9" x14ac:dyDescent="0.25">
      <c r="A109" s="10"/>
      <c r="B109" s="10"/>
      <c r="C109" s="10"/>
      <c r="D109" s="17"/>
      <c r="E109" s="18"/>
      <c r="F109" s="18"/>
      <c r="G109" s="17"/>
      <c r="H109" s="10"/>
      <c r="I109" s="10"/>
    </row>
    <row r="110" spans="1:9" x14ac:dyDescent="0.25">
      <c r="A110" s="10"/>
      <c r="B110" s="10"/>
      <c r="C110" s="10"/>
      <c r="D110" s="17"/>
      <c r="E110" s="18"/>
      <c r="F110" s="18"/>
      <c r="G110" s="17"/>
      <c r="H110" s="10"/>
      <c r="I110" s="10"/>
    </row>
    <row r="111" spans="1:9" x14ac:dyDescent="0.25">
      <c r="A111" s="10"/>
      <c r="B111" s="10"/>
      <c r="C111" s="10"/>
      <c r="D111" s="17"/>
      <c r="E111" s="18"/>
      <c r="F111" s="18"/>
      <c r="G111" s="17"/>
      <c r="H111" s="10"/>
      <c r="I111" s="10"/>
    </row>
    <row r="112" spans="1:9" x14ac:dyDescent="0.25">
      <c r="A112" s="10"/>
      <c r="B112" s="10"/>
      <c r="C112" s="10"/>
      <c r="D112" s="17"/>
      <c r="E112" s="18"/>
      <c r="F112" s="18"/>
      <c r="G112" s="17"/>
      <c r="H112" s="10"/>
      <c r="I112" s="10"/>
    </row>
    <row r="113" spans="1:9" x14ac:dyDescent="0.25">
      <c r="A113" s="10"/>
      <c r="B113" s="10"/>
      <c r="C113" s="10"/>
      <c r="D113" s="17"/>
      <c r="E113" s="18"/>
      <c r="F113" s="18"/>
      <c r="G113" s="17"/>
      <c r="H113" s="10"/>
      <c r="I113" s="10"/>
    </row>
    <row r="114" spans="1:9" x14ac:dyDescent="0.25">
      <c r="A114" s="10"/>
      <c r="B114" s="10"/>
      <c r="C114" s="10"/>
      <c r="D114" s="17"/>
      <c r="E114" s="18"/>
      <c r="F114" s="18"/>
      <c r="G114" s="17"/>
      <c r="H114" s="10"/>
      <c r="I114" s="10"/>
    </row>
    <row r="115" spans="1:9" x14ac:dyDescent="0.25">
      <c r="A115" s="10"/>
      <c r="B115" s="10"/>
      <c r="C115" s="10"/>
      <c r="D115" s="17"/>
      <c r="E115" s="18"/>
      <c r="F115" s="18"/>
      <c r="G115" s="17"/>
      <c r="H115" s="10"/>
      <c r="I115" s="10"/>
    </row>
    <row r="116" spans="1:9" x14ac:dyDescent="0.25">
      <c r="A116" s="10"/>
      <c r="B116" s="10"/>
      <c r="C116" s="10"/>
      <c r="D116" s="17"/>
      <c r="E116" s="18"/>
      <c r="F116" s="18"/>
      <c r="G116" s="17"/>
      <c r="H116" s="10"/>
      <c r="I116" s="10"/>
    </row>
    <row r="117" spans="1:9" x14ac:dyDescent="0.25">
      <c r="A117" s="10"/>
      <c r="B117" s="10"/>
      <c r="C117" s="10"/>
      <c r="D117" s="17"/>
      <c r="E117" s="18"/>
      <c r="F117" s="18"/>
      <c r="G117" s="17"/>
      <c r="H117" s="10"/>
      <c r="I117" s="10"/>
    </row>
    <row r="118" spans="1:9" x14ac:dyDescent="0.25">
      <c r="A118" s="10"/>
      <c r="B118" s="10"/>
      <c r="C118" s="10"/>
      <c r="D118" s="17"/>
      <c r="E118" s="18"/>
      <c r="F118" s="18"/>
      <c r="G118" s="17"/>
      <c r="H118" s="10"/>
      <c r="I118" s="10"/>
    </row>
    <row r="119" spans="1:9" x14ac:dyDescent="0.25">
      <c r="A119" s="10"/>
      <c r="B119" s="10"/>
      <c r="C119" s="10"/>
      <c r="D119" s="17"/>
      <c r="E119" s="18"/>
      <c r="F119" s="18"/>
      <c r="G119" s="17"/>
      <c r="H119" s="10"/>
      <c r="I119" s="10"/>
    </row>
    <row r="120" spans="1:9" x14ac:dyDescent="0.25">
      <c r="A120" s="10"/>
      <c r="B120" s="10"/>
      <c r="C120" s="10"/>
      <c r="D120" s="17"/>
      <c r="E120" s="18"/>
      <c r="F120" s="18"/>
      <c r="G120" s="17"/>
      <c r="H120" s="10"/>
      <c r="I120" s="10"/>
    </row>
    <row r="121" spans="1:9" x14ac:dyDescent="0.25">
      <c r="A121" s="10"/>
      <c r="B121" s="10"/>
      <c r="C121" s="10"/>
      <c r="D121" s="17"/>
      <c r="E121" s="18"/>
      <c r="F121" s="18"/>
      <c r="G121" s="17"/>
      <c r="H121" s="10"/>
      <c r="I121" s="10"/>
    </row>
    <row r="122" spans="1:9" x14ac:dyDescent="0.25">
      <c r="A122" s="10"/>
      <c r="B122" s="10"/>
      <c r="C122" s="10"/>
      <c r="D122" s="17"/>
      <c r="E122" s="18"/>
      <c r="F122" s="18"/>
      <c r="G122" s="17"/>
      <c r="H122" s="10"/>
      <c r="I122" s="10"/>
    </row>
    <row r="123" spans="1:9" x14ac:dyDescent="0.25">
      <c r="A123" s="10"/>
      <c r="B123" s="10"/>
      <c r="C123" s="10"/>
      <c r="D123" s="17"/>
      <c r="E123" s="18"/>
      <c r="F123" s="18"/>
      <c r="G123" s="17"/>
      <c r="H123" s="10"/>
      <c r="I123" s="10"/>
    </row>
    <row r="124" spans="1:9" x14ac:dyDescent="0.25">
      <c r="A124" s="10"/>
      <c r="B124" s="10"/>
      <c r="C124" s="10"/>
      <c r="D124" s="17"/>
      <c r="E124" s="18"/>
      <c r="F124" s="18"/>
      <c r="G124" s="17"/>
      <c r="H124" s="10"/>
      <c r="I124" s="10"/>
    </row>
    <row r="125" spans="1:9" x14ac:dyDescent="0.25">
      <c r="A125" s="10"/>
      <c r="B125" s="10"/>
      <c r="C125" s="10"/>
      <c r="D125" s="17"/>
      <c r="E125" s="18"/>
      <c r="F125" s="18"/>
      <c r="G125" s="17"/>
      <c r="H125" s="10"/>
      <c r="I125" s="10"/>
    </row>
    <row r="126" spans="1:9" x14ac:dyDescent="0.25">
      <c r="A126" s="10"/>
      <c r="B126" s="10"/>
      <c r="C126" s="10"/>
      <c r="D126" s="17"/>
      <c r="E126" s="18"/>
      <c r="F126" s="18"/>
      <c r="G126" s="17"/>
      <c r="H126" s="10"/>
      <c r="I126" s="10"/>
    </row>
    <row r="127" spans="1:9" x14ac:dyDescent="0.25">
      <c r="A127" s="10"/>
      <c r="B127" s="10"/>
      <c r="C127" s="10"/>
      <c r="D127" s="17"/>
      <c r="E127" s="18"/>
      <c r="F127" s="18"/>
      <c r="G127" s="17"/>
      <c r="H127" s="10"/>
      <c r="I127" s="10"/>
    </row>
    <row r="128" spans="1:9" x14ac:dyDescent="0.25">
      <c r="A128" s="10"/>
      <c r="B128" s="10"/>
      <c r="C128" s="10"/>
      <c r="D128" s="17"/>
      <c r="E128" s="18"/>
      <c r="F128" s="18"/>
      <c r="G128" s="17"/>
      <c r="H128" s="10"/>
      <c r="I128" s="10"/>
    </row>
    <row r="129" spans="1:9" x14ac:dyDescent="0.25">
      <c r="A129" s="10"/>
      <c r="B129" s="10"/>
      <c r="C129" s="10"/>
      <c r="D129" s="17"/>
      <c r="E129" s="18"/>
      <c r="F129" s="18"/>
      <c r="G129" s="17"/>
      <c r="H129" s="10"/>
      <c r="I129" s="10"/>
    </row>
    <row r="130" spans="1:9" x14ac:dyDescent="0.25">
      <c r="A130" s="10"/>
      <c r="B130" s="10"/>
      <c r="C130" s="10"/>
      <c r="D130" s="17"/>
      <c r="E130" s="18"/>
      <c r="F130" s="18"/>
      <c r="G130" s="17"/>
      <c r="H130" s="10"/>
      <c r="I130" s="10"/>
    </row>
    <row r="131" spans="1:9" x14ac:dyDescent="0.25">
      <c r="A131" s="10"/>
      <c r="B131" s="10"/>
      <c r="C131" s="10"/>
      <c r="D131" s="17"/>
      <c r="E131" s="18"/>
      <c r="F131" s="18"/>
      <c r="G131" s="17"/>
      <c r="H131" s="10"/>
      <c r="I131" s="10"/>
    </row>
    <row r="132" spans="1:9" x14ac:dyDescent="0.25">
      <c r="A132" s="10"/>
      <c r="B132" s="10"/>
      <c r="C132" s="10"/>
      <c r="D132" s="17"/>
      <c r="E132" s="18"/>
      <c r="F132" s="18"/>
      <c r="G132" s="17"/>
      <c r="H132" s="10"/>
      <c r="I132" s="10"/>
    </row>
    <row r="133" spans="1:9" x14ac:dyDescent="0.25">
      <c r="A133" s="10"/>
      <c r="B133" s="10"/>
      <c r="C133" s="10"/>
      <c r="D133" s="17"/>
      <c r="E133" s="18"/>
      <c r="F133" s="18"/>
      <c r="G133" s="17"/>
      <c r="H133" s="10"/>
      <c r="I133" s="10"/>
    </row>
    <row r="134" spans="1:9" x14ac:dyDescent="0.25">
      <c r="A134" s="10"/>
      <c r="B134" s="10"/>
      <c r="C134" s="10"/>
      <c r="D134" s="17"/>
      <c r="E134" s="18"/>
      <c r="F134" s="18"/>
      <c r="G134" s="17"/>
      <c r="H134" s="10"/>
      <c r="I134" s="10"/>
    </row>
    <row r="135" spans="1:9" x14ac:dyDescent="0.25">
      <c r="A135" s="10"/>
      <c r="B135" s="10"/>
      <c r="C135" s="10"/>
      <c r="D135" s="17"/>
      <c r="E135" s="18"/>
      <c r="F135" s="18"/>
      <c r="G135" s="17"/>
      <c r="H135" s="10"/>
      <c r="I135" s="10"/>
    </row>
    <row r="136" spans="1:9" x14ac:dyDescent="0.25">
      <c r="A136" s="10"/>
      <c r="B136" s="10"/>
      <c r="C136" s="10"/>
      <c r="D136" s="17"/>
      <c r="E136" s="18"/>
      <c r="F136" s="18"/>
      <c r="G136" s="17"/>
      <c r="H136" s="10"/>
      <c r="I136" s="10"/>
    </row>
    <row r="137" spans="1:9" x14ac:dyDescent="0.25">
      <c r="A137" s="10"/>
      <c r="B137" s="10"/>
      <c r="C137" s="10"/>
      <c r="D137" s="17"/>
      <c r="E137" s="18"/>
      <c r="F137" s="18"/>
      <c r="G137" s="17"/>
      <c r="H137" s="10"/>
      <c r="I137" s="10"/>
    </row>
    <row r="138" spans="1:9" x14ac:dyDescent="0.25">
      <c r="A138" s="10"/>
      <c r="B138" s="10"/>
      <c r="C138" s="10"/>
      <c r="D138" s="17"/>
      <c r="E138" s="18"/>
      <c r="F138" s="18"/>
      <c r="G138" s="17"/>
      <c r="H138" s="10"/>
      <c r="I138" s="10"/>
    </row>
    <row r="139" spans="1:9" x14ac:dyDescent="0.25">
      <c r="A139" s="10"/>
      <c r="B139" s="10"/>
      <c r="C139" s="10"/>
      <c r="D139" s="17"/>
      <c r="E139" s="18"/>
      <c r="F139" s="18"/>
      <c r="G139" s="17"/>
      <c r="H139" s="10"/>
      <c r="I139" s="10"/>
    </row>
    <row r="140" spans="1:9" x14ac:dyDescent="0.25">
      <c r="A140" s="10"/>
      <c r="B140" s="10"/>
      <c r="C140" s="10"/>
      <c r="D140" s="17"/>
      <c r="E140" s="18"/>
      <c r="F140" s="18"/>
      <c r="G140" s="17"/>
      <c r="H140" s="10"/>
      <c r="I140" s="10"/>
    </row>
    <row r="141" spans="1:9" x14ac:dyDescent="0.25">
      <c r="A141" s="10"/>
      <c r="B141" s="10"/>
      <c r="C141" s="10"/>
      <c r="D141" s="17"/>
      <c r="E141" s="18"/>
      <c r="F141" s="18"/>
      <c r="G141" s="17"/>
      <c r="H141" s="10"/>
      <c r="I141" s="10"/>
    </row>
    <row r="142" spans="1:9" x14ac:dyDescent="0.25">
      <c r="A142" s="10"/>
      <c r="B142" s="10"/>
      <c r="C142" s="10"/>
      <c r="D142" s="17"/>
      <c r="E142" s="18"/>
      <c r="F142" s="18"/>
      <c r="G142" s="17"/>
      <c r="H142" s="10"/>
      <c r="I142" s="10"/>
    </row>
    <row r="143" spans="1:9" x14ac:dyDescent="0.25">
      <c r="A143" s="10"/>
      <c r="B143" s="10"/>
      <c r="C143" s="10"/>
      <c r="D143" s="17"/>
      <c r="E143" s="18"/>
      <c r="F143" s="18"/>
      <c r="G143" s="17"/>
      <c r="H143" s="10"/>
      <c r="I143" s="10"/>
    </row>
    <row r="144" spans="1:9" x14ac:dyDescent="0.25">
      <c r="A144" s="10"/>
      <c r="B144" s="10"/>
      <c r="C144" s="10"/>
      <c r="D144" s="17"/>
      <c r="E144" s="18"/>
      <c r="F144" s="18"/>
      <c r="G144" s="17"/>
      <c r="H144" s="10"/>
      <c r="I144" s="10"/>
    </row>
    <row r="145" spans="1:9" x14ac:dyDescent="0.25">
      <c r="A145" s="10"/>
      <c r="B145" s="10"/>
      <c r="C145" s="10"/>
      <c r="D145" s="17"/>
      <c r="E145" s="18"/>
      <c r="F145" s="18"/>
      <c r="G145" s="17"/>
      <c r="H145" s="10"/>
      <c r="I145" s="10"/>
    </row>
    <row r="146" spans="1:9" x14ac:dyDescent="0.25">
      <c r="A146" s="10"/>
      <c r="B146" s="10"/>
      <c r="C146" s="10"/>
      <c r="D146" s="17"/>
      <c r="E146" s="18"/>
      <c r="F146" s="18"/>
      <c r="G146" s="17"/>
      <c r="H146" s="10"/>
      <c r="I146" s="10"/>
    </row>
    <row r="147" spans="1:9" x14ac:dyDescent="0.25">
      <c r="A147" s="10"/>
      <c r="B147" s="10"/>
      <c r="C147" s="10"/>
      <c r="D147" s="17"/>
      <c r="E147" s="18"/>
      <c r="F147" s="18"/>
      <c r="G147" s="17"/>
      <c r="H147" s="10"/>
      <c r="I147" s="10"/>
    </row>
    <row r="148" spans="1:9" x14ac:dyDescent="0.25">
      <c r="A148" s="10"/>
      <c r="B148" s="10"/>
      <c r="C148" s="10"/>
      <c r="D148" s="17"/>
      <c r="E148" s="18"/>
      <c r="F148" s="18"/>
      <c r="G148" s="17"/>
      <c r="H148" s="10"/>
      <c r="I148" s="10"/>
    </row>
    <row r="149" spans="1:9" x14ac:dyDescent="0.25">
      <c r="A149" s="10"/>
      <c r="B149" s="10"/>
      <c r="C149" s="10"/>
      <c r="D149" s="17"/>
      <c r="E149" s="18"/>
      <c r="F149" s="18"/>
      <c r="G149" s="17"/>
      <c r="H149" s="10"/>
      <c r="I149" s="10"/>
    </row>
    <row r="150" spans="1:9" x14ac:dyDescent="0.25">
      <c r="A150" s="10"/>
      <c r="B150" s="10"/>
      <c r="C150" s="10"/>
      <c r="D150" s="17"/>
      <c r="E150" s="18"/>
      <c r="F150" s="18"/>
      <c r="G150" s="17"/>
      <c r="H150" s="10"/>
      <c r="I150" s="10"/>
    </row>
    <row r="151" spans="1:9" x14ac:dyDescent="0.25">
      <c r="A151" s="10"/>
      <c r="B151" s="10"/>
      <c r="C151" s="10"/>
      <c r="D151" s="17"/>
      <c r="E151" s="18"/>
      <c r="F151" s="18"/>
      <c r="G151" s="17"/>
      <c r="H151" s="10"/>
      <c r="I151" s="10"/>
    </row>
    <row r="152" spans="1:9" x14ac:dyDescent="0.25">
      <c r="A152" s="10"/>
      <c r="B152" s="10"/>
      <c r="C152" s="10"/>
      <c r="D152" s="17"/>
      <c r="E152" s="18"/>
      <c r="F152" s="18"/>
      <c r="G152" s="17"/>
      <c r="H152" s="10"/>
      <c r="I152" s="10"/>
    </row>
    <row r="153" spans="1:9" x14ac:dyDescent="0.25">
      <c r="A153" s="10"/>
      <c r="B153" s="10"/>
      <c r="C153" s="10"/>
      <c r="D153" s="17"/>
      <c r="E153" s="18"/>
      <c r="F153" s="18"/>
      <c r="G153" s="17"/>
      <c r="H153" s="10"/>
      <c r="I153" s="10"/>
    </row>
    <row r="154" spans="1:9" x14ac:dyDescent="0.25">
      <c r="A154" s="10"/>
      <c r="B154" s="10"/>
      <c r="C154" s="10"/>
      <c r="D154" s="17"/>
      <c r="E154" s="18"/>
      <c r="F154" s="18"/>
      <c r="G154" s="17"/>
      <c r="H154" s="10"/>
      <c r="I154" s="10"/>
    </row>
    <row r="155" spans="1:9" x14ac:dyDescent="0.25">
      <c r="A155" s="10"/>
      <c r="B155" s="10"/>
      <c r="C155" s="10"/>
      <c r="D155" s="17"/>
      <c r="E155" s="18"/>
      <c r="F155" s="18"/>
      <c r="G155" s="17"/>
      <c r="H155" s="10"/>
      <c r="I155" s="10"/>
    </row>
    <row r="156" spans="1:9" x14ac:dyDescent="0.25">
      <c r="A156" s="10"/>
      <c r="B156" s="10"/>
      <c r="C156" s="10"/>
      <c r="D156" s="17"/>
      <c r="E156" s="18"/>
      <c r="F156" s="18"/>
      <c r="G156" s="17"/>
      <c r="H156" s="10"/>
      <c r="I156" s="10"/>
    </row>
    <row r="157" spans="1:9" x14ac:dyDescent="0.25">
      <c r="A157" s="10"/>
      <c r="B157" s="10"/>
      <c r="C157" s="10"/>
      <c r="D157" s="17"/>
      <c r="E157" s="18"/>
      <c r="F157" s="18"/>
      <c r="G157" s="17"/>
      <c r="H157" s="10"/>
      <c r="I157" s="10"/>
    </row>
    <row r="158" spans="1:9" x14ac:dyDescent="0.25">
      <c r="A158" s="10"/>
      <c r="B158" s="10"/>
      <c r="C158" s="10"/>
      <c r="D158" s="17"/>
      <c r="E158" s="18"/>
      <c r="F158" s="18"/>
      <c r="G158" s="17"/>
      <c r="H158" s="10"/>
      <c r="I158" s="10"/>
    </row>
    <row r="159" spans="1:9" x14ac:dyDescent="0.25">
      <c r="A159" s="10"/>
      <c r="B159" s="10"/>
      <c r="C159" s="10"/>
      <c r="D159" s="17"/>
      <c r="E159" s="18"/>
      <c r="F159" s="18"/>
      <c r="G159" s="17"/>
      <c r="H159" s="10"/>
      <c r="I159" s="10"/>
    </row>
    <row r="160" spans="1:9" x14ac:dyDescent="0.25">
      <c r="A160" s="10"/>
      <c r="B160" s="10"/>
      <c r="C160" s="10"/>
      <c r="D160" s="17"/>
      <c r="E160" s="18"/>
      <c r="F160" s="18"/>
      <c r="G160" s="17"/>
      <c r="H160" s="10"/>
      <c r="I160" s="10"/>
    </row>
    <row r="161" spans="1:9" x14ac:dyDescent="0.25">
      <c r="A161" s="10"/>
      <c r="B161" s="10"/>
      <c r="C161" s="10"/>
      <c r="D161" s="17"/>
      <c r="E161" s="18"/>
      <c r="F161" s="18"/>
      <c r="G161" s="17"/>
      <c r="H161" s="10"/>
      <c r="I161" s="10"/>
    </row>
    <row r="162" spans="1:9" x14ac:dyDescent="0.25">
      <c r="A162" s="10"/>
      <c r="B162" s="10"/>
      <c r="C162" s="10"/>
      <c r="D162" s="17"/>
      <c r="E162" s="18"/>
      <c r="F162" s="18"/>
      <c r="G162" s="17"/>
      <c r="H162" s="10"/>
      <c r="I162" s="10"/>
    </row>
    <row r="163" spans="1:9" x14ac:dyDescent="0.25">
      <c r="A163" s="10"/>
      <c r="B163" s="10"/>
      <c r="C163" s="10"/>
      <c r="D163" s="17"/>
      <c r="E163" s="18"/>
      <c r="F163" s="18"/>
      <c r="G163" s="17"/>
      <c r="H163" s="10"/>
      <c r="I163" s="10"/>
    </row>
    <row r="164" spans="1:9" x14ac:dyDescent="0.25">
      <c r="A164" s="10"/>
      <c r="B164" s="10"/>
      <c r="C164" s="10"/>
      <c r="D164" s="17"/>
      <c r="E164" s="18"/>
      <c r="F164" s="18"/>
      <c r="G164" s="17"/>
      <c r="H164" s="10"/>
      <c r="I164" s="10"/>
    </row>
    <row r="165" spans="1:9" x14ac:dyDescent="0.25">
      <c r="A165" s="10"/>
      <c r="B165" s="10"/>
      <c r="C165" s="10"/>
      <c r="D165" s="17"/>
      <c r="E165" s="18"/>
      <c r="F165" s="18"/>
      <c r="G165" s="17"/>
      <c r="H165" s="10"/>
      <c r="I165" s="10"/>
    </row>
    <row r="166" spans="1:9" x14ac:dyDescent="0.25">
      <c r="A166" s="10"/>
      <c r="B166" s="10"/>
      <c r="C166" s="10"/>
      <c r="D166" s="17"/>
      <c r="E166" s="18"/>
      <c r="F166" s="18"/>
      <c r="G166" s="17"/>
      <c r="H166" s="10"/>
      <c r="I166" s="10"/>
    </row>
    <row r="167" spans="1:9" x14ac:dyDescent="0.25">
      <c r="A167" s="10"/>
      <c r="B167" s="10"/>
      <c r="C167" s="10"/>
      <c r="D167" s="17"/>
      <c r="E167" s="18"/>
      <c r="F167" s="18"/>
      <c r="G167" s="17"/>
      <c r="H167" s="10"/>
      <c r="I167" s="10"/>
    </row>
    <row r="168" spans="1:9" x14ac:dyDescent="0.25">
      <c r="A168" s="10"/>
      <c r="B168" s="10"/>
      <c r="C168" s="10"/>
      <c r="D168" s="17"/>
      <c r="E168" s="18"/>
      <c r="F168" s="18"/>
      <c r="G168" s="17"/>
      <c r="H168" s="10"/>
      <c r="I168" s="10"/>
    </row>
    <row r="169" spans="1:9" x14ac:dyDescent="0.25">
      <c r="A169" s="10"/>
      <c r="B169" s="10"/>
      <c r="C169" s="10"/>
      <c r="D169" s="17"/>
      <c r="E169" s="18"/>
      <c r="F169" s="18"/>
      <c r="G169" s="17"/>
      <c r="H169" s="10"/>
      <c r="I169" s="10"/>
    </row>
    <row r="170" spans="1:9" x14ac:dyDescent="0.25">
      <c r="A170" s="10"/>
      <c r="B170" s="10"/>
      <c r="C170" s="10"/>
      <c r="D170" s="17"/>
      <c r="E170" s="18"/>
      <c r="F170" s="18"/>
      <c r="G170" s="17"/>
      <c r="H170" s="10"/>
      <c r="I170" s="10"/>
    </row>
    <row r="171" spans="1:9" x14ac:dyDescent="0.25">
      <c r="A171" s="10"/>
      <c r="B171" s="10"/>
      <c r="C171" s="10"/>
      <c r="D171" s="17"/>
      <c r="E171" s="18"/>
      <c r="F171" s="18"/>
      <c r="G171" s="17"/>
      <c r="H171" s="10"/>
      <c r="I171" s="10"/>
    </row>
    <row r="172" spans="1:9" x14ac:dyDescent="0.25">
      <c r="A172" s="10"/>
      <c r="B172" s="10"/>
      <c r="C172" s="10"/>
      <c r="D172" s="17"/>
      <c r="E172" s="18"/>
      <c r="F172" s="18"/>
      <c r="G172" s="17"/>
      <c r="H172" s="10"/>
      <c r="I172" s="10"/>
    </row>
    <row r="173" spans="1:9" x14ac:dyDescent="0.25">
      <c r="A173" s="10"/>
      <c r="B173" s="10"/>
      <c r="C173" s="10"/>
      <c r="D173" s="17"/>
      <c r="E173" s="18"/>
      <c r="F173" s="18"/>
      <c r="G173" s="17"/>
      <c r="H173" s="10"/>
      <c r="I173" s="10"/>
    </row>
    <row r="174" spans="1:9" x14ac:dyDescent="0.25">
      <c r="A174" s="10"/>
      <c r="B174" s="10"/>
      <c r="C174" s="10"/>
      <c r="D174" s="17"/>
      <c r="E174" s="18"/>
      <c r="F174" s="18"/>
      <c r="G174" s="17"/>
      <c r="H174" s="10"/>
      <c r="I174" s="10"/>
    </row>
    <row r="175" spans="1:9" x14ac:dyDescent="0.25">
      <c r="A175" s="10"/>
      <c r="B175" s="10"/>
      <c r="C175" s="10"/>
      <c r="D175" s="17"/>
      <c r="E175" s="18"/>
      <c r="F175" s="18"/>
      <c r="G175" s="17"/>
      <c r="H175" s="10"/>
      <c r="I175" s="10"/>
    </row>
    <row r="176" spans="1:9" x14ac:dyDescent="0.25">
      <c r="A176" s="10"/>
      <c r="B176" s="10"/>
      <c r="C176" s="10"/>
      <c r="D176" s="17"/>
      <c r="E176" s="18"/>
      <c r="F176" s="18"/>
      <c r="G176" s="17"/>
      <c r="H176" s="10"/>
      <c r="I176" s="10"/>
    </row>
    <row r="177" spans="1:9" x14ac:dyDescent="0.25">
      <c r="A177" s="10"/>
      <c r="B177" s="10"/>
      <c r="C177" s="10"/>
      <c r="D177" s="17"/>
      <c r="E177" s="18"/>
      <c r="F177" s="18"/>
      <c r="G177" s="17"/>
      <c r="H177" s="10"/>
      <c r="I177" s="10"/>
    </row>
    <row r="178" spans="1:9" x14ac:dyDescent="0.25">
      <c r="A178" s="10"/>
      <c r="B178" s="10"/>
      <c r="C178" s="10"/>
      <c r="D178" s="17"/>
      <c r="E178" s="18"/>
      <c r="F178" s="18"/>
      <c r="G178" s="17"/>
      <c r="H178" s="10"/>
      <c r="I178" s="10"/>
    </row>
    <row r="179" spans="1:9" x14ac:dyDescent="0.25">
      <c r="A179" s="10"/>
      <c r="B179" s="10"/>
      <c r="C179" s="10"/>
      <c r="D179" s="17"/>
      <c r="E179" s="18"/>
      <c r="F179" s="18"/>
      <c r="G179" s="17"/>
      <c r="H179" s="10"/>
      <c r="I179" s="10"/>
    </row>
    <row r="180" spans="1:9" x14ac:dyDescent="0.25">
      <c r="A180" s="10"/>
      <c r="B180" s="10"/>
      <c r="C180" s="10"/>
      <c r="D180" s="17"/>
      <c r="E180" s="18"/>
      <c r="F180" s="18"/>
      <c r="G180" s="17"/>
      <c r="H180" s="10"/>
      <c r="I180" s="10"/>
    </row>
    <row r="181" spans="1:9" x14ac:dyDescent="0.25">
      <c r="A181" s="10"/>
      <c r="B181" s="10"/>
      <c r="C181" s="10"/>
      <c r="D181" s="17"/>
      <c r="E181" s="18"/>
      <c r="F181" s="18"/>
      <c r="G181" s="17"/>
      <c r="H181" s="10"/>
      <c r="I181" s="10"/>
    </row>
    <row r="182" spans="1:9" x14ac:dyDescent="0.25">
      <c r="A182" s="10"/>
      <c r="B182" s="10"/>
      <c r="C182" s="10"/>
      <c r="D182" s="17"/>
      <c r="E182" s="18"/>
      <c r="F182" s="18"/>
      <c r="G182" s="17"/>
      <c r="H182" s="10"/>
      <c r="I182" s="10"/>
    </row>
    <row r="183" spans="1:9" x14ac:dyDescent="0.25">
      <c r="A183" s="10"/>
      <c r="B183" s="10"/>
      <c r="C183" s="10"/>
      <c r="D183" s="17"/>
      <c r="E183" s="18"/>
      <c r="F183" s="18"/>
      <c r="G183" s="17"/>
      <c r="H183" s="10"/>
      <c r="I183" s="10"/>
    </row>
    <row r="184" spans="1:9" x14ac:dyDescent="0.25">
      <c r="A184" s="10"/>
      <c r="B184" s="10"/>
      <c r="C184" s="10"/>
      <c r="D184" s="17"/>
      <c r="E184" s="18"/>
      <c r="F184" s="18"/>
      <c r="G184" s="17"/>
      <c r="H184" s="10"/>
      <c r="I184" s="10"/>
    </row>
    <row r="185" spans="1:9" x14ac:dyDescent="0.25">
      <c r="A185" s="10"/>
      <c r="B185" s="10"/>
      <c r="C185" s="10"/>
      <c r="D185" s="17"/>
      <c r="E185" s="18"/>
      <c r="F185" s="18"/>
      <c r="G185" s="17"/>
      <c r="H185" s="10"/>
      <c r="I185" s="10"/>
    </row>
    <row r="186" spans="1:9" x14ac:dyDescent="0.25">
      <c r="A186" s="10"/>
      <c r="B186" s="10"/>
      <c r="C186" s="10"/>
      <c r="D186" s="17"/>
      <c r="E186" s="18"/>
      <c r="F186" s="18"/>
      <c r="G186" s="17"/>
      <c r="H186" s="10"/>
      <c r="I186" s="10"/>
    </row>
    <row r="187" spans="1:9" x14ac:dyDescent="0.25">
      <c r="A187" s="10"/>
      <c r="B187" s="10"/>
      <c r="C187" s="10"/>
      <c r="D187" s="17"/>
      <c r="E187" s="18"/>
      <c r="F187" s="18"/>
      <c r="G187" s="17"/>
      <c r="H187" s="10"/>
      <c r="I187" s="10"/>
    </row>
    <row r="188" spans="1:9" x14ac:dyDescent="0.25">
      <c r="A188" s="10"/>
      <c r="B188" s="10"/>
      <c r="C188" s="10"/>
      <c r="D188" s="17"/>
      <c r="E188" s="18"/>
      <c r="F188" s="18"/>
      <c r="G188" s="17"/>
      <c r="H188" s="10"/>
      <c r="I188" s="10"/>
    </row>
    <row r="189" spans="1:9" x14ac:dyDescent="0.25">
      <c r="A189" s="10"/>
      <c r="B189" s="10"/>
      <c r="C189" s="10"/>
      <c r="D189" s="17"/>
      <c r="E189" s="18"/>
      <c r="F189" s="18"/>
      <c r="G189" s="17"/>
      <c r="H189" s="10"/>
      <c r="I189" s="10"/>
    </row>
    <row r="190" spans="1:9" x14ac:dyDescent="0.25">
      <c r="A190" s="10"/>
      <c r="B190" s="10"/>
      <c r="C190" s="10"/>
      <c r="D190" s="17"/>
      <c r="E190" s="18"/>
      <c r="F190" s="18"/>
      <c r="G190" s="17"/>
      <c r="H190" s="10"/>
      <c r="I190" s="10"/>
    </row>
    <row r="191" spans="1:9" x14ac:dyDescent="0.25">
      <c r="A191" s="10"/>
      <c r="B191" s="10"/>
      <c r="C191" s="10"/>
      <c r="D191" s="17"/>
      <c r="E191" s="18"/>
      <c r="F191" s="18"/>
      <c r="G191" s="17"/>
      <c r="H191" s="10"/>
      <c r="I191" s="10"/>
    </row>
    <row r="192" spans="1:9" x14ac:dyDescent="0.25">
      <c r="A192" s="10"/>
      <c r="B192" s="10"/>
      <c r="C192" s="10"/>
      <c r="D192" s="17"/>
      <c r="E192" s="18"/>
      <c r="F192" s="18"/>
      <c r="G192" s="17"/>
      <c r="H192" s="10"/>
      <c r="I192" s="10"/>
    </row>
    <row r="193" spans="1:9" x14ac:dyDescent="0.25">
      <c r="A193" s="10"/>
      <c r="B193" s="10"/>
      <c r="C193" s="10"/>
      <c r="D193" s="17"/>
      <c r="E193" s="18"/>
      <c r="F193" s="18"/>
      <c r="G193" s="17"/>
      <c r="H193" s="10"/>
      <c r="I193" s="10"/>
    </row>
    <row r="194" spans="1:9" x14ac:dyDescent="0.25">
      <c r="A194" s="10"/>
      <c r="B194" s="10"/>
      <c r="C194" s="10"/>
      <c r="D194" s="17"/>
      <c r="E194" s="18"/>
      <c r="F194" s="18"/>
      <c r="G194" s="17"/>
      <c r="H194" s="10"/>
      <c r="I194" s="10"/>
    </row>
    <row r="195" spans="1:9" x14ac:dyDescent="0.25">
      <c r="A195" s="10"/>
      <c r="B195" s="10"/>
      <c r="C195" s="10"/>
      <c r="D195" s="17"/>
      <c r="E195" s="18"/>
      <c r="F195" s="18"/>
      <c r="G195" s="17"/>
      <c r="H195" s="10"/>
      <c r="I195" s="10"/>
    </row>
    <row r="196" spans="1:9" x14ac:dyDescent="0.25">
      <c r="A196" s="10"/>
      <c r="B196" s="10"/>
      <c r="C196" s="10"/>
      <c r="D196" s="17"/>
      <c r="E196" s="18"/>
      <c r="F196" s="18"/>
      <c r="G196" s="17"/>
      <c r="H196" s="10"/>
      <c r="I196" s="10"/>
    </row>
    <row r="197" spans="1:9" x14ac:dyDescent="0.25">
      <c r="A197" s="10"/>
      <c r="B197" s="10"/>
      <c r="C197" s="10"/>
      <c r="D197" s="17"/>
      <c r="E197" s="18"/>
      <c r="F197" s="18"/>
      <c r="G197" s="17"/>
      <c r="H197" s="10"/>
      <c r="I197" s="10"/>
    </row>
    <row r="198" spans="1:9" x14ac:dyDescent="0.25">
      <c r="A198" s="10"/>
      <c r="B198" s="10"/>
      <c r="C198" s="10"/>
      <c r="D198" s="17"/>
      <c r="E198" s="18"/>
      <c r="F198" s="18"/>
      <c r="G198" s="17"/>
      <c r="H198" s="10"/>
      <c r="I198" s="10"/>
    </row>
    <row r="199" spans="1:9" x14ac:dyDescent="0.25">
      <c r="A199" s="10"/>
      <c r="B199" s="10"/>
      <c r="C199" s="10"/>
      <c r="D199" s="17"/>
      <c r="E199" s="18"/>
      <c r="F199" s="18"/>
      <c r="G199" s="17"/>
      <c r="H199" s="10"/>
      <c r="I199" s="10"/>
    </row>
    <row r="200" spans="1:9" x14ac:dyDescent="0.25">
      <c r="A200" s="10"/>
      <c r="B200" s="10"/>
      <c r="C200" s="10"/>
      <c r="D200" s="17"/>
      <c r="E200" s="18"/>
      <c r="F200" s="18"/>
      <c r="G200" s="17"/>
      <c r="H200" s="10"/>
      <c r="I200" s="10"/>
    </row>
    <row r="201" spans="1:9" x14ac:dyDescent="0.25">
      <c r="A201" s="10"/>
      <c r="B201" s="10"/>
      <c r="C201" s="10"/>
      <c r="D201" s="17"/>
      <c r="E201" s="18"/>
      <c r="F201" s="18"/>
      <c r="G201" s="17"/>
      <c r="H201" s="10"/>
      <c r="I201" s="10"/>
    </row>
  </sheetData>
  <dataValidations count="2">
    <dataValidation type="list" allowBlank="1" showErrorMessage="1" error="Pick one of: Email, Portal, Fax, Mail, Hand delivered, Other" sqref="H2:H201">
      <formula1>"Email,Portal,Fax,Mail,Hand delivered,Other"</formula1>
    </dataValidation>
    <dataValidation type="list" allowBlank="1" showErrorMessage="1" error="Pick one of: Yes, No" sqref="I2:I201">
      <formula1>"Yes,No"</formula1>
    </dataValidation>
  </dataValidations>
  <pageMargins left="0.7" right="0.7" top="0.75" bottom="0.75" header="0.3" footer="0.3"/>
  <pageSetup orientation="portrait" horizontalDpi="4294967295" verticalDpi="4294967295" scale="100" fitToWidth="1" fitToHeight="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6" customWidth="1"/>
    <col min="3" max="3" width="22" customWidth="1"/>
    <col min="4" max="6" width="16" customWidth="1"/>
  </cols>
  <sheetData>
    <row r="1" ht="32" customHeight="1" spans="1:6" x14ac:dyDescent="0.25">
      <c r="A1" s="13" t="s">
        <v>38</v>
      </c>
      <c r="B1" s="13" t="s">
        <v>65</v>
      </c>
      <c r="C1" s="13" t="s">
        <v>66</v>
      </c>
      <c r="D1" s="13" t="s">
        <v>67</v>
      </c>
      <c r="E1" s="13" t="s">
        <v>68</v>
      </c>
      <c r="F1" s="13" t="s">
        <v>69</v>
      </c>
    </row>
    <row r="2" spans="1:6" x14ac:dyDescent="0.25">
      <c r="A2" s="14" t="s">
        <v>47</v>
      </c>
      <c r="B2" s="14" t="s">
        <v>70</v>
      </c>
      <c r="C2" s="15" t="s">
        <v>49</v>
      </c>
      <c r="D2" s="16">
        <v>8450</v>
      </c>
      <c r="E2" s="16">
        <v>2112.5</v>
      </c>
      <c r="F2" s="19">
        <f>IF(A2="","",IF(COUNTIF('Our DOs'!$B$2:$B$201,A2)&gt;0,"In our DOs","Not in our DOs"))</f>
      </c>
    </row>
    <row r="3" spans="1:6" x14ac:dyDescent="0.25">
      <c r="A3" s="14" t="s">
        <v>54</v>
      </c>
      <c r="B3" s="14" t="s">
        <v>71</v>
      </c>
      <c r="C3" s="15" t="s">
        <v>56</v>
      </c>
      <c r="D3" s="16">
        <v>12300</v>
      </c>
      <c r="E3" s="16">
        <v>2460</v>
      </c>
      <c r="F3" s="19">
        <f>IF(A3="","",IF(COUNTIF('Our DOs'!$B$2:$B$201,A3)&gt;0,"In our DOs","Not in our DOs"))</f>
      </c>
    </row>
    <row r="4" spans="1:6" x14ac:dyDescent="0.25">
      <c r="A4" s="14" t="s">
        <v>72</v>
      </c>
      <c r="B4" s="14" t="s">
        <v>73</v>
      </c>
      <c r="C4" s="15" t="s">
        <v>74</v>
      </c>
      <c r="D4" s="16">
        <v>6100</v>
      </c>
      <c r="E4" s="16">
        <v>1525</v>
      </c>
      <c r="F4" s="19">
        <f>IF(A4="","",IF(COUNTIF('Our DOs'!$B$2:$B$201,A4)&gt;0,"In our DOs","Not in our DOs"))</f>
      </c>
    </row>
    <row r="5" spans="1:6" x14ac:dyDescent="0.25">
      <c r="A5" s="10"/>
      <c r="B5" s="10"/>
      <c r="C5" s="17"/>
      <c r="D5" s="18"/>
      <c r="E5" s="18"/>
      <c r="F5" s="19">
        <f>IF(A5="","",IF(COUNTIF('Our DOs'!$B$2:$B$201,A5)&gt;0,"In our DOs","Not in our DOs"))</f>
      </c>
    </row>
    <row r="6" spans="1:6" x14ac:dyDescent="0.25">
      <c r="A6" s="10"/>
      <c r="B6" s="10"/>
      <c r="C6" s="17"/>
      <c r="D6" s="18"/>
      <c r="E6" s="18"/>
      <c r="F6" s="19">
        <f>IF(A6="","",IF(COUNTIF('Our DOs'!$B$2:$B$201,A6)&gt;0,"In our DOs","Not in our DOs"))</f>
      </c>
    </row>
    <row r="7" spans="1:6" x14ac:dyDescent="0.25">
      <c r="A7" s="10"/>
      <c r="B7" s="10"/>
      <c r="C7" s="17"/>
      <c r="D7" s="18"/>
      <c r="E7" s="18"/>
      <c r="F7" s="19">
        <f>IF(A7="","",IF(COUNTIF('Our DOs'!$B$2:$B$201,A7)&gt;0,"In our DOs","Not in our DOs"))</f>
      </c>
    </row>
    <row r="8" spans="1:6" x14ac:dyDescent="0.25">
      <c r="A8" s="10"/>
      <c r="B8" s="10"/>
      <c r="C8" s="17"/>
      <c r="D8" s="18"/>
      <c r="E8" s="18"/>
      <c r="F8" s="19">
        <f>IF(A8="","",IF(COUNTIF('Our DOs'!$B$2:$B$201,A8)&gt;0,"In our DOs","Not in our DOs"))</f>
      </c>
    </row>
    <row r="9" spans="1:6" x14ac:dyDescent="0.25">
      <c r="A9" s="10"/>
      <c r="B9" s="10"/>
      <c r="C9" s="17"/>
      <c r="D9" s="18"/>
      <c r="E9" s="18"/>
      <c r="F9" s="19">
        <f>IF(A9="","",IF(COUNTIF('Our DOs'!$B$2:$B$201,A9)&gt;0,"In our DOs","Not in our DOs"))</f>
      </c>
    </row>
    <row r="10" spans="1:6" x14ac:dyDescent="0.25">
      <c r="A10" s="10"/>
      <c r="B10" s="10"/>
      <c r="C10" s="17"/>
      <c r="D10" s="18"/>
      <c r="E10" s="18"/>
      <c r="F10" s="19">
        <f>IF(A10="","",IF(COUNTIF('Our DOs'!$B$2:$B$201,A10)&gt;0,"In our DOs","Not in our DOs"))</f>
      </c>
    </row>
    <row r="11" spans="1:6" x14ac:dyDescent="0.25">
      <c r="A11" s="10"/>
      <c r="B11" s="10"/>
      <c r="C11" s="17"/>
      <c r="D11" s="18"/>
      <c r="E11" s="18"/>
      <c r="F11" s="19">
        <f>IF(A11="","",IF(COUNTIF('Our DOs'!$B$2:$B$201,A11)&gt;0,"In our DOs","Not in our DOs"))</f>
      </c>
    </row>
    <row r="12" spans="1:6" x14ac:dyDescent="0.25">
      <c r="A12" s="10"/>
      <c r="B12" s="10"/>
      <c r="C12" s="17"/>
      <c r="D12" s="18"/>
      <c r="E12" s="18"/>
      <c r="F12" s="19">
        <f>IF(A12="","",IF(COUNTIF('Our DOs'!$B$2:$B$201,A12)&gt;0,"In our DOs","Not in our DOs"))</f>
      </c>
    </row>
    <row r="13" spans="1:6" x14ac:dyDescent="0.25">
      <c r="A13" s="10"/>
      <c r="B13" s="10"/>
      <c r="C13" s="17"/>
      <c r="D13" s="18"/>
      <c r="E13" s="18"/>
      <c r="F13" s="19">
        <f>IF(A13="","",IF(COUNTIF('Our DOs'!$B$2:$B$201,A13)&gt;0,"In our DOs","Not in our DOs"))</f>
      </c>
    </row>
    <row r="14" spans="1:6" x14ac:dyDescent="0.25">
      <c r="A14" s="10"/>
      <c r="B14" s="10"/>
      <c r="C14" s="17"/>
      <c r="D14" s="18"/>
      <c r="E14" s="18"/>
      <c r="F14" s="19">
        <f>IF(A14="","",IF(COUNTIF('Our DOs'!$B$2:$B$201,A14)&gt;0,"In our DOs","Not in our DOs"))</f>
      </c>
    </row>
    <row r="15" spans="1:6" x14ac:dyDescent="0.25">
      <c r="A15" s="10"/>
      <c r="B15" s="10"/>
      <c r="C15" s="17"/>
      <c r="D15" s="18"/>
      <c r="E15" s="18"/>
      <c r="F15" s="19">
        <f>IF(A15="","",IF(COUNTIF('Our DOs'!$B$2:$B$201,A15)&gt;0,"In our DOs","Not in our DOs"))</f>
      </c>
    </row>
    <row r="16" spans="1:6" x14ac:dyDescent="0.25">
      <c r="A16" s="10"/>
      <c r="B16" s="10"/>
      <c r="C16" s="17"/>
      <c r="D16" s="18"/>
      <c r="E16" s="18"/>
      <c r="F16" s="19">
        <f>IF(A16="","",IF(COUNTIF('Our DOs'!$B$2:$B$201,A16)&gt;0,"In our DOs","Not in our DOs"))</f>
      </c>
    </row>
    <row r="17" spans="1:6" x14ac:dyDescent="0.25">
      <c r="A17" s="10"/>
      <c r="B17" s="10"/>
      <c r="C17" s="17"/>
      <c r="D17" s="18"/>
      <c r="E17" s="18"/>
      <c r="F17" s="19">
        <f>IF(A17="","",IF(COUNTIF('Our DOs'!$B$2:$B$201,A17)&gt;0,"In our DOs","Not in our DOs"))</f>
      </c>
    </row>
    <row r="18" spans="1:6" x14ac:dyDescent="0.25">
      <c r="A18" s="10"/>
      <c r="B18" s="10"/>
      <c r="C18" s="17"/>
      <c r="D18" s="18"/>
      <c r="E18" s="18"/>
      <c r="F18" s="19">
        <f>IF(A18="","",IF(COUNTIF('Our DOs'!$B$2:$B$201,A18)&gt;0,"In our DOs","Not in our DOs"))</f>
      </c>
    </row>
    <row r="19" spans="1:6" x14ac:dyDescent="0.25">
      <c r="A19" s="10"/>
      <c r="B19" s="10"/>
      <c r="C19" s="17"/>
      <c r="D19" s="18"/>
      <c r="E19" s="18"/>
      <c r="F19" s="19">
        <f>IF(A19="","",IF(COUNTIF('Our DOs'!$B$2:$B$201,A19)&gt;0,"In our DOs","Not in our DOs"))</f>
      </c>
    </row>
    <row r="20" spans="1:6" x14ac:dyDescent="0.25">
      <c r="A20" s="10"/>
      <c r="B20" s="10"/>
      <c r="C20" s="17"/>
      <c r="D20" s="18"/>
      <c r="E20" s="18"/>
      <c r="F20" s="19">
        <f>IF(A20="","",IF(COUNTIF('Our DOs'!$B$2:$B$201,A20)&gt;0,"In our DOs","Not in our DOs"))</f>
      </c>
    </row>
    <row r="21" spans="1:6" x14ac:dyDescent="0.25">
      <c r="A21" s="10"/>
      <c r="B21" s="10"/>
      <c r="C21" s="17"/>
      <c r="D21" s="18"/>
      <c r="E21" s="18"/>
      <c r="F21" s="19">
        <f>IF(A21="","",IF(COUNTIF('Our DOs'!$B$2:$B$201,A21)&gt;0,"In our DOs","Not in our DOs"))</f>
      </c>
    </row>
    <row r="22" spans="1:6" x14ac:dyDescent="0.25">
      <c r="A22" s="10"/>
      <c r="B22" s="10"/>
      <c r="C22" s="17"/>
      <c r="D22" s="18"/>
      <c r="E22" s="18"/>
      <c r="F22" s="19">
        <f>IF(A22="","",IF(COUNTIF('Our DOs'!$B$2:$B$201,A22)&gt;0,"In our DOs","Not in our DOs"))</f>
      </c>
    </row>
    <row r="23" spans="1:6" x14ac:dyDescent="0.25">
      <c r="A23" s="10"/>
      <c r="B23" s="10"/>
      <c r="C23" s="17"/>
      <c r="D23" s="18"/>
      <c r="E23" s="18"/>
      <c r="F23" s="19">
        <f>IF(A23="","",IF(COUNTIF('Our DOs'!$B$2:$B$201,A23)&gt;0,"In our DOs","Not in our DOs"))</f>
      </c>
    </row>
    <row r="24" spans="1:6" x14ac:dyDescent="0.25">
      <c r="A24" s="10"/>
      <c r="B24" s="10"/>
      <c r="C24" s="17"/>
      <c r="D24" s="18"/>
      <c r="E24" s="18"/>
      <c r="F24" s="19">
        <f>IF(A24="","",IF(COUNTIF('Our DOs'!$B$2:$B$201,A24)&gt;0,"In our DOs","Not in our DOs"))</f>
      </c>
    </row>
    <row r="25" spans="1:6" x14ac:dyDescent="0.25">
      <c r="A25" s="10"/>
      <c r="B25" s="10"/>
      <c r="C25" s="17"/>
      <c r="D25" s="18"/>
      <c r="E25" s="18"/>
      <c r="F25" s="19">
        <f>IF(A25="","",IF(COUNTIF('Our DOs'!$B$2:$B$201,A25)&gt;0,"In our DOs","Not in our DOs"))</f>
      </c>
    </row>
    <row r="26" spans="1:6" x14ac:dyDescent="0.25">
      <c r="A26" s="10"/>
      <c r="B26" s="10"/>
      <c r="C26" s="17"/>
      <c r="D26" s="18"/>
      <c r="E26" s="18"/>
      <c r="F26" s="19">
        <f>IF(A26="","",IF(COUNTIF('Our DOs'!$B$2:$B$201,A26)&gt;0,"In our DOs","Not in our DOs"))</f>
      </c>
    </row>
    <row r="27" spans="1:6" x14ac:dyDescent="0.25">
      <c r="A27" s="10"/>
      <c r="B27" s="10"/>
      <c r="C27" s="17"/>
      <c r="D27" s="18"/>
      <c r="E27" s="18"/>
      <c r="F27" s="19">
        <f>IF(A27="","",IF(COUNTIF('Our DOs'!$B$2:$B$201,A27)&gt;0,"In our DOs","Not in our DOs"))</f>
      </c>
    </row>
    <row r="28" spans="1:6" x14ac:dyDescent="0.25">
      <c r="A28" s="10"/>
      <c r="B28" s="10"/>
      <c r="C28" s="17"/>
      <c r="D28" s="18"/>
      <c r="E28" s="18"/>
      <c r="F28" s="19">
        <f>IF(A28="","",IF(COUNTIF('Our DOs'!$B$2:$B$201,A28)&gt;0,"In our DOs","Not in our DOs"))</f>
      </c>
    </row>
    <row r="29" spans="1:6" x14ac:dyDescent="0.25">
      <c r="A29" s="10"/>
      <c r="B29" s="10"/>
      <c r="C29" s="17"/>
      <c r="D29" s="18"/>
      <c r="E29" s="18"/>
      <c r="F29" s="19">
        <f>IF(A29="","",IF(COUNTIF('Our DOs'!$B$2:$B$201,A29)&gt;0,"In our DOs","Not in our DOs"))</f>
      </c>
    </row>
    <row r="30" spans="1:6" x14ac:dyDescent="0.25">
      <c r="A30" s="10"/>
      <c r="B30" s="10"/>
      <c r="C30" s="17"/>
      <c r="D30" s="18"/>
      <c r="E30" s="18"/>
      <c r="F30" s="19">
        <f>IF(A30="","",IF(COUNTIF('Our DOs'!$B$2:$B$201,A30)&gt;0,"In our DOs","Not in our DOs"))</f>
      </c>
    </row>
    <row r="31" spans="1:6" x14ac:dyDescent="0.25">
      <c r="A31" s="10"/>
      <c r="B31" s="10"/>
      <c r="C31" s="17"/>
      <c r="D31" s="18"/>
      <c r="E31" s="18"/>
      <c r="F31" s="19">
        <f>IF(A31="","",IF(COUNTIF('Our DOs'!$B$2:$B$201,A31)&gt;0,"In our DOs","Not in our DOs"))</f>
      </c>
    </row>
    <row r="32" spans="1:6" x14ac:dyDescent="0.25">
      <c r="A32" s="10"/>
      <c r="B32" s="10"/>
      <c r="C32" s="17"/>
      <c r="D32" s="18"/>
      <c r="E32" s="18"/>
      <c r="F32" s="19">
        <f>IF(A32="","",IF(COUNTIF('Our DOs'!$B$2:$B$201,A32)&gt;0,"In our DOs","Not in our DOs"))</f>
      </c>
    </row>
    <row r="33" spans="1:6" x14ac:dyDescent="0.25">
      <c r="A33" s="10"/>
      <c r="B33" s="10"/>
      <c r="C33" s="17"/>
      <c r="D33" s="18"/>
      <c r="E33" s="18"/>
      <c r="F33" s="19">
        <f>IF(A33="","",IF(COUNTIF('Our DOs'!$B$2:$B$201,A33)&gt;0,"In our DOs","Not in our DOs"))</f>
      </c>
    </row>
    <row r="34" spans="1:6" x14ac:dyDescent="0.25">
      <c r="A34" s="10"/>
      <c r="B34" s="10"/>
      <c r="C34" s="17"/>
      <c r="D34" s="18"/>
      <c r="E34" s="18"/>
      <c r="F34" s="19">
        <f>IF(A34="","",IF(COUNTIF('Our DOs'!$B$2:$B$201,A34)&gt;0,"In our DOs","Not in our DOs"))</f>
      </c>
    </row>
    <row r="35" spans="1:6" x14ac:dyDescent="0.25">
      <c r="A35" s="10"/>
      <c r="B35" s="10"/>
      <c r="C35" s="17"/>
      <c r="D35" s="18"/>
      <c r="E35" s="18"/>
      <c r="F35" s="19">
        <f>IF(A35="","",IF(COUNTIF('Our DOs'!$B$2:$B$201,A35)&gt;0,"In our DOs","Not in our DOs"))</f>
      </c>
    </row>
    <row r="36" spans="1:6" x14ac:dyDescent="0.25">
      <c r="A36" s="10"/>
      <c r="B36" s="10"/>
      <c r="C36" s="17"/>
      <c r="D36" s="18"/>
      <c r="E36" s="18"/>
      <c r="F36" s="19">
        <f>IF(A36="","",IF(COUNTIF('Our DOs'!$B$2:$B$201,A36)&gt;0,"In our DOs","Not in our DOs"))</f>
      </c>
    </row>
    <row r="37" spans="1:6" x14ac:dyDescent="0.25">
      <c r="A37" s="10"/>
      <c r="B37" s="10"/>
      <c r="C37" s="17"/>
      <c r="D37" s="18"/>
      <c r="E37" s="18"/>
      <c r="F37" s="19">
        <f>IF(A37="","",IF(COUNTIF('Our DOs'!$B$2:$B$201,A37)&gt;0,"In our DOs","Not in our DOs"))</f>
      </c>
    </row>
    <row r="38" spans="1:6" x14ac:dyDescent="0.25">
      <c r="A38" s="10"/>
      <c r="B38" s="10"/>
      <c r="C38" s="17"/>
      <c r="D38" s="18"/>
      <c r="E38" s="18"/>
      <c r="F38" s="19">
        <f>IF(A38="","",IF(COUNTIF('Our DOs'!$B$2:$B$201,A38)&gt;0,"In our DOs","Not in our DOs"))</f>
      </c>
    </row>
    <row r="39" spans="1:6" x14ac:dyDescent="0.25">
      <c r="A39" s="10"/>
      <c r="B39" s="10"/>
      <c r="C39" s="17"/>
      <c r="D39" s="18"/>
      <c r="E39" s="18"/>
      <c r="F39" s="19">
        <f>IF(A39="","",IF(COUNTIF('Our DOs'!$B$2:$B$201,A39)&gt;0,"In our DOs","Not in our DOs"))</f>
      </c>
    </row>
    <row r="40" spans="1:6" x14ac:dyDescent="0.25">
      <c r="A40" s="10"/>
      <c r="B40" s="10"/>
      <c r="C40" s="17"/>
      <c r="D40" s="18"/>
      <c r="E40" s="18"/>
      <c r="F40" s="19">
        <f>IF(A40="","",IF(COUNTIF('Our DOs'!$B$2:$B$201,A40)&gt;0,"In our DOs","Not in our DOs"))</f>
      </c>
    </row>
    <row r="41" spans="1:6" x14ac:dyDescent="0.25">
      <c r="A41" s="10"/>
      <c r="B41" s="10"/>
      <c r="C41" s="17"/>
      <c r="D41" s="18"/>
      <c r="E41" s="18"/>
      <c r="F41" s="19">
        <f>IF(A41="","",IF(COUNTIF('Our DOs'!$B$2:$B$201,A41)&gt;0,"In our DOs","Not in our DOs"))</f>
      </c>
    </row>
    <row r="42" spans="1:6" x14ac:dyDescent="0.25">
      <c r="A42" s="10"/>
      <c r="B42" s="10"/>
      <c r="C42" s="17"/>
      <c r="D42" s="18"/>
      <c r="E42" s="18"/>
      <c r="F42" s="19">
        <f>IF(A42="","",IF(COUNTIF('Our DOs'!$B$2:$B$201,A42)&gt;0,"In our DOs","Not in our DOs"))</f>
      </c>
    </row>
    <row r="43" spans="1:6" x14ac:dyDescent="0.25">
      <c r="A43" s="10"/>
      <c r="B43" s="10"/>
      <c r="C43" s="17"/>
      <c r="D43" s="18"/>
      <c r="E43" s="18"/>
      <c r="F43" s="19">
        <f>IF(A43="","",IF(COUNTIF('Our DOs'!$B$2:$B$201,A43)&gt;0,"In our DOs","Not in our DOs"))</f>
      </c>
    </row>
    <row r="44" spans="1:6" x14ac:dyDescent="0.25">
      <c r="A44" s="10"/>
      <c r="B44" s="10"/>
      <c r="C44" s="17"/>
      <c r="D44" s="18"/>
      <c r="E44" s="18"/>
      <c r="F44" s="19">
        <f>IF(A44="","",IF(COUNTIF('Our DOs'!$B$2:$B$201,A44)&gt;0,"In our DOs","Not in our DOs"))</f>
      </c>
    </row>
    <row r="45" spans="1:6" x14ac:dyDescent="0.25">
      <c r="A45" s="10"/>
      <c r="B45" s="10"/>
      <c r="C45" s="17"/>
      <c r="D45" s="18"/>
      <c r="E45" s="18"/>
      <c r="F45" s="19">
        <f>IF(A45="","",IF(COUNTIF('Our DOs'!$B$2:$B$201,A45)&gt;0,"In our DOs","Not in our DOs"))</f>
      </c>
    </row>
    <row r="46" spans="1:6" x14ac:dyDescent="0.25">
      <c r="A46" s="10"/>
      <c r="B46" s="10"/>
      <c r="C46" s="17"/>
      <c r="D46" s="18"/>
      <c r="E46" s="18"/>
      <c r="F46" s="19">
        <f>IF(A46="","",IF(COUNTIF('Our DOs'!$B$2:$B$201,A46)&gt;0,"In our DOs","Not in our DOs"))</f>
      </c>
    </row>
    <row r="47" spans="1:6" x14ac:dyDescent="0.25">
      <c r="A47" s="10"/>
      <c r="B47" s="10"/>
      <c r="C47" s="17"/>
      <c r="D47" s="18"/>
      <c r="E47" s="18"/>
      <c r="F47" s="19">
        <f>IF(A47="","",IF(COUNTIF('Our DOs'!$B$2:$B$201,A47)&gt;0,"In our DOs","Not in our DOs"))</f>
      </c>
    </row>
    <row r="48" spans="1:6" x14ac:dyDescent="0.25">
      <c r="A48" s="10"/>
      <c r="B48" s="10"/>
      <c r="C48" s="17"/>
      <c r="D48" s="18"/>
      <c r="E48" s="18"/>
      <c r="F48" s="19">
        <f>IF(A48="","",IF(COUNTIF('Our DOs'!$B$2:$B$201,A48)&gt;0,"In our DOs","Not in our DOs"))</f>
      </c>
    </row>
    <row r="49" spans="1:6" x14ac:dyDescent="0.25">
      <c r="A49" s="10"/>
      <c r="B49" s="10"/>
      <c r="C49" s="17"/>
      <c r="D49" s="18"/>
      <c r="E49" s="18"/>
      <c r="F49" s="19">
        <f>IF(A49="","",IF(COUNTIF('Our DOs'!$B$2:$B$201,A49)&gt;0,"In our DOs","Not in our DOs"))</f>
      </c>
    </row>
    <row r="50" spans="1:6" x14ac:dyDescent="0.25">
      <c r="A50" s="10"/>
      <c r="B50" s="10"/>
      <c r="C50" s="17"/>
      <c r="D50" s="18"/>
      <c r="E50" s="18"/>
      <c r="F50" s="19">
        <f>IF(A50="","",IF(COUNTIF('Our DOs'!$B$2:$B$201,A50)&gt;0,"In our DOs","Not in our DOs"))</f>
      </c>
    </row>
    <row r="51" spans="1:6" x14ac:dyDescent="0.25">
      <c r="A51" s="10"/>
      <c r="B51" s="10"/>
      <c r="C51" s="17"/>
      <c r="D51" s="18"/>
      <c r="E51" s="18"/>
      <c r="F51" s="19">
        <f>IF(A51="","",IF(COUNTIF('Our DOs'!$B$2:$B$201,A51)&gt;0,"In our DOs","Not in our DOs"))</f>
      </c>
    </row>
    <row r="52" spans="1:6" x14ac:dyDescent="0.25">
      <c r="A52" s="10"/>
      <c r="B52" s="10"/>
      <c r="C52" s="17"/>
      <c r="D52" s="18"/>
      <c r="E52" s="18"/>
      <c r="F52" s="19">
        <f>IF(A52="","",IF(COUNTIF('Our DOs'!$B$2:$B$201,A52)&gt;0,"In our DOs","Not in our DOs"))</f>
      </c>
    </row>
    <row r="53" spans="1:6" x14ac:dyDescent="0.25">
      <c r="A53" s="10"/>
      <c r="B53" s="10"/>
      <c r="C53" s="17"/>
      <c r="D53" s="18"/>
      <c r="E53" s="18"/>
      <c r="F53" s="19">
        <f>IF(A53="","",IF(COUNTIF('Our DOs'!$B$2:$B$201,A53)&gt;0,"In our DOs","Not in our DOs"))</f>
      </c>
    </row>
    <row r="54" spans="1:6" x14ac:dyDescent="0.25">
      <c r="A54" s="10"/>
      <c r="B54" s="10"/>
      <c r="C54" s="17"/>
      <c r="D54" s="18"/>
      <c r="E54" s="18"/>
      <c r="F54" s="19">
        <f>IF(A54="","",IF(COUNTIF('Our DOs'!$B$2:$B$201,A54)&gt;0,"In our DOs","Not in our DOs"))</f>
      </c>
    </row>
    <row r="55" spans="1:6" x14ac:dyDescent="0.25">
      <c r="A55" s="10"/>
      <c r="B55" s="10"/>
      <c r="C55" s="17"/>
      <c r="D55" s="18"/>
      <c r="E55" s="18"/>
      <c r="F55" s="19">
        <f>IF(A55="","",IF(COUNTIF('Our DOs'!$B$2:$B$201,A55)&gt;0,"In our DOs","Not in our DOs"))</f>
      </c>
    </row>
    <row r="56" spans="1:6" x14ac:dyDescent="0.25">
      <c r="A56" s="10"/>
      <c r="B56" s="10"/>
      <c r="C56" s="17"/>
      <c r="D56" s="18"/>
      <c r="E56" s="18"/>
      <c r="F56" s="19">
        <f>IF(A56="","",IF(COUNTIF('Our DOs'!$B$2:$B$201,A56)&gt;0,"In our DOs","Not in our DOs"))</f>
      </c>
    </row>
    <row r="57" spans="1:6" x14ac:dyDescent="0.25">
      <c r="A57" s="10"/>
      <c r="B57" s="10"/>
      <c r="C57" s="17"/>
      <c r="D57" s="18"/>
      <c r="E57" s="18"/>
      <c r="F57" s="19">
        <f>IF(A57="","",IF(COUNTIF('Our DOs'!$B$2:$B$201,A57)&gt;0,"In our DOs","Not in our DOs"))</f>
      </c>
    </row>
    <row r="58" spans="1:6" x14ac:dyDescent="0.25">
      <c r="A58" s="10"/>
      <c r="B58" s="10"/>
      <c r="C58" s="17"/>
      <c r="D58" s="18"/>
      <c r="E58" s="18"/>
      <c r="F58" s="19">
        <f>IF(A58="","",IF(COUNTIF('Our DOs'!$B$2:$B$201,A58)&gt;0,"In our DOs","Not in our DOs"))</f>
      </c>
    </row>
    <row r="59" spans="1:6" x14ac:dyDescent="0.25">
      <c r="A59" s="10"/>
      <c r="B59" s="10"/>
      <c r="C59" s="17"/>
      <c r="D59" s="18"/>
      <c r="E59" s="18"/>
      <c r="F59" s="19">
        <f>IF(A59="","",IF(COUNTIF('Our DOs'!$B$2:$B$201,A59)&gt;0,"In our DOs","Not in our DOs"))</f>
      </c>
    </row>
    <row r="60" spans="1:6" x14ac:dyDescent="0.25">
      <c r="A60" s="10"/>
      <c r="B60" s="10"/>
      <c r="C60" s="17"/>
      <c r="D60" s="18"/>
      <c r="E60" s="18"/>
      <c r="F60" s="19">
        <f>IF(A60="","",IF(COUNTIF('Our DOs'!$B$2:$B$201,A60)&gt;0,"In our DOs","Not in our DOs"))</f>
      </c>
    </row>
    <row r="61" spans="1:6" x14ac:dyDescent="0.25">
      <c r="A61" s="10"/>
      <c r="B61" s="10"/>
      <c r="C61" s="17"/>
      <c r="D61" s="18"/>
      <c r="E61" s="18"/>
      <c r="F61" s="19">
        <f>IF(A61="","",IF(COUNTIF('Our DOs'!$B$2:$B$201,A61)&gt;0,"In our DOs","Not in our DOs"))</f>
      </c>
    </row>
    <row r="62" spans="1:6" x14ac:dyDescent="0.25">
      <c r="A62" s="10"/>
      <c r="B62" s="10"/>
      <c r="C62" s="17"/>
      <c r="D62" s="18"/>
      <c r="E62" s="18"/>
      <c r="F62" s="19">
        <f>IF(A62="","",IF(COUNTIF('Our DOs'!$B$2:$B$201,A62)&gt;0,"In our DOs","Not in our DOs"))</f>
      </c>
    </row>
    <row r="63" spans="1:6" x14ac:dyDescent="0.25">
      <c r="A63" s="10"/>
      <c r="B63" s="10"/>
      <c r="C63" s="17"/>
      <c r="D63" s="18"/>
      <c r="E63" s="18"/>
      <c r="F63" s="19">
        <f>IF(A63="","",IF(COUNTIF('Our DOs'!$B$2:$B$201,A63)&gt;0,"In our DOs","Not in our DOs"))</f>
      </c>
    </row>
    <row r="64" spans="1:6" x14ac:dyDescent="0.25">
      <c r="A64" s="10"/>
      <c r="B64" s="10"/>
      <c r="C64" s="17"/>
      <c r="D64" s="18"/>
      <c r="E64" s="18"/>
      <c r="F64" s="19">
        <f>IF(A64="","",IF(COUNTIF('Our DOs'!$B$2:$B$201,A64)&gt;0,"In our DOs","Not in our DOs"))</f>
      </c>
    </row>
    <row r="65" spans="1:6" x14ac:dyDescent="0.25">
      <c r="A65" s="10"/>
      <c r="B65" s="10"/>
      <c r="C65" s="17"/>
      <c r="D65" s="18"/>
      <c r="E65" s="18"/>
      <c r="F65" s="19">
        <f>IF(A65="","",IF(COUNTIF('Our DOs'!$B$2:$B$201,A65)&gt;0,"In our DOs","Not in our DOs"))</f>
      </c>
    </row>
    <row r="66" spans="1:6" x14ac:dyDescent="0.25">
      <c r="A66" s="10"/>
      <c r="B66" s="10"/>
      <c r="C66" s="17"/>
      <c r="D66" s="18"/>
      <c r="E66" s="18"/>
      <c r="F66" s="19">
        <f>IF(A66="","",IF(COUNTIF('Our DOs'!$B$2:$B$201,A66)&gt;0,"In our DOs","Not in our DOs"))</f>
      </c>
    </row>
    <row r="67" spans="1:6" x14ac:dyDescent="0.25">
      <c r="A67" s="10"/>
      <c r="B67" s="10"/>
      <c r="C67" s="17"/>
      <c r="D67" s="18"/>
      <c r="E67" s="18"/>
      <c r="F67" s="19">
        <f>IF(A67="","",IF(COUNTIF('Our DOs'!$B$2:$B$201,A67)&gt;0,"In our DOs","Not in our DOs"))</f>
      </c>
    </row>
    <row r="68" spans="1:6" x14ac:dyDescent="0.25">
      <c r="A68" s="10"/>
      <c r="B68" s="10"/>
      <c r="C68" s="17"/>
      <c r="D68" s="18"/>
      <c r="E68" s="18"/>
      <c r="F68" s="19">
        <f>IF(A68="","",IF(COUNTIF('Our DOs'!$B$2:$B$201,A68)&gt;0,"In our DOs","Not in our DOs"))</f>
      </c>
    </row>
    <row r="69" spans="1:6" x14ac:dyDescent="0.25">
      <c r="A69" s="10"/>
      <c r="B69" s="10"/>
      <c r="C69" s="17"/>
      <c r="D69" s="18"/>
      <c r="E69" s="18"/>
      <c r="F69" s="19">
        <f>IF(A69="","",IF(COUNTIF('Our DOs'!$B$2:$B$201,A69)&gt;0,"In our DOs","Not in our DOs"))</f>
      </c>
    </row>
    <row r="70" spans="1:6" x14ac:dyDescent="0.25">
      <c r="A70" s="10"/>
      <c r="B70" s="10"/>
      <c r="C70" s="17"/>
      <c r="D70" s="18"/>
      <c r="E70" s="18"/>
      <c r="F70" s="19">
        <f>IF(A70="","",IF(COUNTIF('Our DOs'!$B$2:$B$201,A70)&gt;0,"In our DOs","Not in our DOs"))</f>
      </c>
    </row>
    <row r="71" spans="1:6" x14ac:dyDescent="0.25">
      <c r="A71" s="10"/>
      <c r="B71" s="10"/>
      <c r="C71" s="17"/>
      <c r="D71" s="18"/>
      <c r="E71" s="18"/>
      <c r="F71" s="19">
        <f>IF(A71="","",IF(COUNTIF('Our DOs'!$B$2:$B$201,A71)&gt;0,"In our DOs","Not in our DOs"))</f>
      </c>
    </row>
    <row r="72" spans="1:6" x14ac:dyDescent="0.25">
      <c r="A72" s="10"/>
      <c r="B72" s="10"/>
      <c r="C72" s="17"/>
      <c r="D72" s="18"/>
      <c r="E72" s="18"/>
      <c r="F72" s="19">
        <f>IF(A72="","",IF(COUNTIF('Our DOs'!$B$2:$B$201,A72)&gt;0,"In our DOs","Not in our DOs"))</f>
      </c>
    </row>
    <row r="73" spans="1:6" x14ac:dyDescent="0.25">
      <c r="A73" s="10"/>
      <c r="B73" s="10"/>
      <c r="C73" s="17"/>
      <c r="D73" s="18"/>
      <c r="E73" s="18"/>
      <c r="F73" s="19">
        <f>IF(A73="","",IF(COUNTIF('Our DOs'!$B$2:$B$201,A73)&gt;0,"In our DOs","Not in our DOs"))</f>
      </c>
    </row>
    <row r="74" spans="1:6" x14ac:dyDescent="0.25">
      <c r="A74" s="10"/>
      <c r="B74" s="10"/>
      <c r="C74" s="17"/>
      <c r="D74" s="18"/>
      <c r="E74" s="18"/>
      <c r="F74" s="19">
        <f>IF(A74="","",IF(COUNTIF('Our DOs'!$B$2:$B$201,A74)&gt;0,"In our DOs","Not in our DOs"))</f>
      </c>
    </row>
    <row r="75" spans="1:6" x14ac:dyDescent="0.25">
      <c r="A75" s="10"/>
      <c r="B75" s="10"/>
      <c r="C75" s="17"/>
      <c r="D75" s="18"/>
      <c r="E75" s="18"/>
      <c r="F75" s="19">
        <f>IF(A75="","",IF(COUNTIF('Our DOs'!$B$2:$B$201,A75)&gt;0,"In our DOs","Not in our DOs"))</f>
      </c>
    </row>
    <row r="76" spans="1:6" x14ac:dyDescent="0.25">
      <c r="A76" s="10"/>
      <c r="B76" s="10"/>
      <c r="C76" s="17"/>
      <c r="D76" s="18"/>
      <c r="E76" s="18"/>
      <c r="F76" s="19">
        <f>IF(A76="","",IF(COUNTIF('Our DOs'!$B$2:$B$201,A76)&gt;0,"In our DOs","Not in our DOs"))</f>
      </c>
    </row>
    <row r="77" spans="1:6" x14ac:dyDescent="0.25">
      <c r="A77" s="10"/>
      <c r="B77" s="10"/>
      <c r="C77" s="17"/>
      <c r="D77" s="18"/>
      <c r="E77" s="18"/>
      <c r="F77" s="19">
        <f>IF(A77="","",IF(COUNTIF('Our DOs'!$B$2:$B$201,A77)&gt;0,"In our DOs","Not in our DOs"))</f>
      </c>
    </row>
    <row r="78" spans="1:6" x14ac:dyDescent="0.25">
      <c r="A78" s="10"/>
      <c r="B78" s="10"/>
      <c r="C78" s="17"/>
      <c r="D78" s="18"/>
      <c r="E78" s="18"/>
      <c r="F78" s="19">
        <f>IF(A78="","",IF(COUNTIF('Our DOs'!$B$2:$B$201,A78)&gt;0,"In our DOs","Not in our DOs"))</f>
      </c>
    </row>
    <row r="79" spans="1:6" x14ac:dyDescent="0.25">
      <c r="A79" s="10"/>
      <c r="B79" s="10"/>
      <c r="C79" s="17"/>
      <c r="D79" s="18"/>
      <c r="E79" s="18"/>
      <c r="F79" s="19">
        <f>IF(A79="","",IF(COUNTIF('Our DOs'!$B$2:$B$201,A79)&gt;0,"In our DOs","Not in our DOs"))</f>
      </c>
    </row>
    <row r="80" spans="1:6" x14ac:dyDescent="0.25">
      <c r="A80" s="10"/>
      <c r="B80" s="10"/>
      <c r="C80" s="17"/>
      <c r="D80" s="18"/>
      <c r="E80" s="18"/>
      <c r="F80" s="19">
        <f>IF(A80="","",IF(COUNTIF('Our DOs'!$B$2:$B$201,A80)&gt;0,"In our DOs","Not in our DOs"))</f>
      </c>
    </row>
    <row r="81" spans="1:6" x14ac:dyDescent="0.25">
      <c r="A81" s="10"/>
      <c r="B81" s="10"/>
      <c r="C81" s="17"/>
      <c r="D81" s="18"/>
      <c r="E81" s="18"/>
      <c r="F81" s="19">
        <f>IF(A81="","",IF(COUNTIF('Our DOs'!$B$2:$B$201,A81)&gt;0,"In our DOs","Not in our DOs"))</f>
      </c>
    </row>
    <row r="82" spans="1:6" x14ac:dyDescent="0.25">
      <c r="A82" s="10"/>
      <c r="B82" s="10"/>
      <c r="C82" s="17"/>
      <c r="D82" s="18"/>
      <c r="E82" s="18"/>
      <c r="F82" s="19">
        <f>IF(A82="","",IF(COUNTIF('Our DOs'!$B$2:$B$201,A82)&gt;0,"In our DOs","Not in our DOs"))</f>
      </c>
    </row>
    <row r="83" spans="1:6" x14ac:dyDescent="0.25">
      <c r="A83" s="10"/>
      <c r="B83" s="10"/>
      <c r="C83" s="17"/>
      <c r="D83" s="18"/>
      <c r="E83" s="18"/>
      <c r="F83" s="19">
        <f>IF(A83="","",IF(COUNTIF('Our DOs'!$B$2:$B$201,A83)&gt;0,"In our DOs","Not in our DOs"))</f>
      </c>
    </row>
    <row r="84" spans="1:6" x14ac:dyDescent="0.25">
      <c r="A84" s="10"/>
      <c r="B84" s="10"/>
      <c r="C84" s="17"/>
      <c r="D84" s="18"/>
      <c r="E84" s="18"/>
      <c r="F84" s="19">
        <f>IF(A84="","",IF(COUNTIF('Our DOs'!$B$2:$B$201,A84)&gt;0,"In our DOs","Not in our DOs"))</f>
      </c>
    </row>
    <row r="85" spans="1:6" x14ac:dyDescent="0.25">
      <c r="A85" s="10"/>
      <c r="B85" s="10"/>
      <c r="C85" s="17"/>
      <c r="D85" s="18"/>
      <c r="E85" s="18"/>
      <c r="F85" s="19">
        <f>IF(A85="","",IF(COUNTIF('Our DOs'!$B$2:$B$201,A85)&gt;0,"In our DOs","Not in our DOs"))</f>
      </c>
    </row>
    <row r="86" spans="1:6" x14ac:dyDescent="0.25">
      <c r="A86" s="10"/>
      <c r="B86" s="10"/>
      <c r="C86" s="17"/>
      <c r="D86" s="18"/>
      <c r="E86" s="18"/>
      <c r="F86" s="19">
        <f>IF(A86="","",IF(COUNTIF('Our DOs'!$B$2:$B$201,A86)&gt;0,"In our DOs","Not in our DOs"))</f>
      </c>
    </row>
    <row r="87" spans="1:6" x14ac:dyDescent="0.25">
      <c r="A87" s="10"/>
      <c r="B87" s="10"/>
      <c r="C87" s="17"/>
      <c r="D87" s="18"/>
      <c r="E87" s="18"/>
      <c r="F87" s="19">
        <f>IF(A87="","",IF(COUNTIF('Our DOs'!$B$2:$B$201,A87)&gt;0,"In our DOs","Not in our DOs"))</f>
      </c>
    </row>
    <row r="88" spans="1:6" x14ac:dyDescent="0.25">
      <c r="A88" s="10"/>
      <c r="B88" s="10"/>
      <c r="C88" s="17"/>
      <c r="D88" s="18"/>
      <c r="E88" s="18"/>
      <c r="F88" s="19">
        <f>IF(A88="","",IF(COUNTIF('Our DOs'!$B$2:$B$201,A88)&gt;0,"In our DOs","Not in our DOs"))</f>
      </c>
    </row>
    <row r="89" spans="1:6" x14ac:dyDescent="0.25">
      <c r="A89" s="10"/>
      <c r="B89" s="10"/>
      <c r="C89" s="17"/>
      <c r="D89" s="18"/>
      <c r="E89" s="18"/>
      <c r="F89" s="19">
        <f>IF(A89="","",IF(COUNTIF('Our DOs'!$B$2:$B$201,A89)&gt;0,"In our DOs","Not in our DOs"))</f>
      </c>
    </row>
    <row r="90" spans="1:6" x14ac:dyDescent="0.25">
      <c r="A90" s="10"/>
      <c r="B90" s="10"/>
      <c r="C90" s="17"/>
      <c r="D90" s="18"/>
      <c r="E90" s="18"/>
      <c r="F90" s="19">
        <f>IF(A90="","",IF(COUNTIF('Our DOs'!$B$2:$B$201,A90)&gt;0,"In our DOs","Not in our DOs"))</f>
      </c>
    </row>
    <row r="91" spans="1:6" x14ac:dyDescent="0.25">
      <c r="A91" s="10"/>
      <c r="B91" s="10"/>
      <c r="C91" s="17"/>
      <c r="D91" s="18"/>
      <c r="E91" s="18"/>
      <c r="F91" s="19">
        <f>IF(A91="","",IF(COUNTIF('Our DOs'!$B$2:$B$201,A91)&gt;0,"In our DOs","Not in our DOs"))</f>
      </c>
    </row>
    <row r="92" spans="1:6" x14ac:dyDescent="0.25">
      <c r="A92" s="10"/>
      <c r="B92" s="10"/>
      <c r="C92" s="17"/>
      <c r="D92" s="18"/>
      <c r="E92" s="18"/>
      <c r="F92" s="19">
        <f>IF(A92="","",IF(COUNTIF('Our DOs'!$B$2:$B$201,A92)&gt;0,"In our DOs","Not in our DOs"))</f>
      </c>
    </row>
    <row r="93" spans="1:6" x14ac:dyDescent="0.25">
      <c r="A93" s="10"/>
      <c r="B93" s="10"/>
      <c r="C93" s="17"/>
      <c r="D93" s="18"/>
      <c r="E93" s="18"/>
      <c r="F93" s="19">
        <f>IF(A93="","",IF(COUNTIF('Our DOs'!$B$2:$B$201,A93)&gt;0,"In our DOs","Not in our DOs"))</f>
      </c>
    </row>
    <row r="94" spans="1:6" x14ac:dyDescent="0.25">
      <c r="A94" s="10"/>
      <c r="B94" s="10"/>
      <c r="C94" s="17"/>
      <c r="D94" s="18"/>
      <c r="E94" s="18"/>
      <c r="F94" s="19">
        <f>IF(A94="","",IF(COUNTIF('Our DOs'!$B$2:$B$201,A94)&gt;0,"In our DOs","Not in our DOs"))</f>
      </c>
    </row>
    <row r="95" spans="1:6" x14ac:dyDescent="0.25">
      <c r="A95" s="10"/>
      <c r="B95" s="10"/>
      <c r="C95" s="17"/>
      <c r="D95" s="18"/>
      <c r="E95" s="18"/>
      <c r="F95" s="19">
        <f>IF(A95="","",IF(COUNTIF('Our DOs'!$B$2:$B$201,A95)&gt;0,"In our DOs","Not in our DOs"))</f>
      </c>
    </row>
    <row r="96" spans="1:6" x14ac:dyDescent="0.25">
      <c r="A96" s="10"/>
      <c r="B96" s="10"/>
      <c r="C96" s="17"/>
      <c r="D96" s="18"/>
      <c r="E96" s="18"/>
      <c r="F96" s="19">
        <f>IF(A96="","",IF(COUNTIF('Our DOs'!$B$2:$B$201,A96)&gt;0,"In our DOs","Not in our DOs"))</f>
      </c>
    </row>
    <row r="97" spans="1:6" x14ac:dyDescent="0.25">
      <c r="A97" s="10"/>
      <c r="B97" s="10"/>
      <c r="C97" s="17"/>
      <c r="D97" s="18"/>
      <c r="E97" s="18"/>
      <c r="F97" s="19">
        <f>IF(A97="","",IF(COUNTIF('Our DOs'!$B$2:$B$201,A97)&gt;0,"In our DOs","Not in our DOs"))</f>
      </c>
    </row>
    <row r="98" spans="1:6" x14ac:dyDescent="0.25">
      <c r="A98" s="10"/>
      <c r="B98" s="10"/>
      <c r="C98" s="17"/>
      <c r="D98" s="18"/>
      <c r="E98" s="18"/>
      <c r="F98" s="19">
        <f>IF(A98="","",IF(COUNTIF('Our DOs'!$B$2:$B$201,A98)&gt;0,"In our DOs","Not in our DOs"))</f>
      </c>
    </row>
    <row r="99" spans="1:6" x14ac:dyDescent="0.25">
      <c r="A99" s="10"/>
      <c r="B99" s="10"/>
      <c r="C99" s="17"/>
      <c r="D99" s="18"/>
      <c r="E99" s="18"/>
      <c r="F99" s="19">
        <f>IF(A99="","",IF(COUNTIF('Our DOs'!$B$2:$B$201,A99)&gt;0,"In our DOs","Not in our DOs"))</f>
      </c>
    </row>
    <row r="100" spans="1:6" x14ac:dyDescent="0.25">
      <c r="A100" s="10"/>
      <c r="B100" s="10"/>
      <c r="C100" s="17"/>
      <c r="D100" s="18"/>
      <c r="E100" s="18"/>
      <c r="F100" s="19">
        <f>IF(A100="","",IF(COUNTIF('Our DOs'!$B$2:$B$201,A100)&gt;0,"In our DOs","Not in our DOs"))</f>
      </c>
    </row>
    <row r="101" spans="1:6" x14ac:dyDescent="0.25">
      <c r="A101" s="10"/>
      <c r="B101" s="10"/>
      <c r="C101" s="17"/>
      <c r="D101" s="18"/>
      <c r="E101" s="18"/>
      <c r="F101" s="19">
        <f>IF(A101="","",IF(COUNTIF('Our DOs'!$B$2:$B$201,A101)&gt;0,"In our DOs","Not in our DOs"))</f>
      </c>
    </row>
    <row r="102" spans="1:6" x14ac:dyDescent="0.25">
      <c r="A102" s="10"/>
      <c r="B102" s="10"/>
      <c r="C102" s="17"/>
      <c r="D102" s="18"/>
      <c r="E102" s="18"/>
      <c r="F102" s="19">
        <f>IF(A102="","",IF(COUNTIF('Our DOs'!$B$2:$B$201,A102)&gt;0,"In our DOs","Not in our DOs"))</f>
      </c>
    </row>
    <row r="103" spans="1:6" x14ac:dyDescent="0.25">
      <c r="A103" s="10"/>
      <c r="B103" s="10"/>
      <c r="C103" s="17"/>
      <c r="D103" s="18"/>
      <c r="E103" s="18"/>
      <c r="F103" s="19">
        <f>IF(A103="","",IF(COUNTIF('Our DOs'!$B$2:$B$201,A103)&gt;0,"In our DOs","Not in our DOs"))</f>
      </c>
    </row>
    <row r="104" spans="1:6" x14ac:dyDescent="0.25">
      <c r="A104" s="10"/>
      <c r="B104" s="10"/>
      <c r="C104" s="17"/>
      <c r="D104" s="18"/>
      <c r="E104" s="18"/>
      <c r="F104" s="19">
        <f>IF(A104="","",IF(COUNTIF('Our DOs'!$B$2:$B$201,A104)&gt;0,"In our DOs","Not in our DOs"))</f>
      </c>
    </row>
    <row r="105" spans="1:6" x14ac:dyDescent="0.25">
      <c r="A105" s="10"/>
      <c r="B105" s="10"/>
      <c r="C105" s="17"/>
      <c r="D105" s="18"/>
      <c r="E105" s="18"/>
      <c r="F105" s="19">
        <f>IF(A105="","",IF(COUNTIF('Our DOs'!$B$2:$B$201,A105)&gt;0,"In our DOs","Not in our DOs"))</f>
      </c>
    </row>
    <row r="106" spans="1:6" x14ac:dyDescent="0.25">
      <c r="A106" s="10"/>
      <c r="B106" s="10"/>
      <c r="C106" s="17"/>
      <c r="D106" s="18"/>
      <c r="E106" s="18"/>
      <c r="F106" s="19">
        <f>IF(A106="","",IF(COUNTIF('Our DOs'!$B$2:$B$201,A106)&gt;0,"In our DOs","Not in our DOs"))</f>
      </c>
    </row>
    <row r="107" spans="1:6" x14ac:dyDescent="0.25">
      <c r="A107" s="10"/>
      <c r="B107" s="10"/>
      <c r="C107" s="17"/>
      <c r="D107" s="18"/>
      <c r="E107" s="18"/>
      <c r="F107" s="19">
        <f>IF(A107="","",IF(COUNTIF('Our DOs'!$B$2:$B$201,A107)&gt;0,"In our DOs","Not in our DOs"))</f>
      </c>
    </row>
    <row r="108" spans="1:6" x14ac:dyDescent="0.25">
      <c r="A108" s="10"/>
      <c r="B108" s="10"/>
      <c r="C108" s="17"/>
      <c r="D108" s="18"/>
      <c r="E108" s="18"/>
      <c r="F108" s="19">
        <f>IF(A108="","",IF(COUNTIF('Our DOs'!$B$2:$B$201,A108)&gt;0,"In our DOs","Not in our DOs"))</f>
      </c>
    </row>
    <row r="109" spans="1:6" x14ac:dyDescent="0.25">
      <c r="A109" s="10"/>
      <c r="B109" s="10"/>
      <c r="C109" s="17"/>
      <c r="D109" s="18"/>
      <c r="E109" s="18"/>
      <c r="F109" s="19">
        <f>IF(A109="","",IF(COUNTIF('Our DOs'!$B$2:$B$201,A109)&gt;0,"In our DOs","Not in our DOs"))</f>
      </c>
    </row>
    <row r="110" spans="1:6" x14ac:dyDescent="0.25">
      <c r="A110" s="10"/>
      <c r="B110" s="10"/>
      <c r="C110" s="17"/>
      <c r="D110" s="18"/>
      <c r="E110" s="18"/>
      <c r="F110" s="19">
        <f>IF(A110="","",IF(COUNTIF('Our DOs'!$B$2:$B$201,A110)&gt;0,"In our DOs","Not in our DOs"))</f>
      </c>
    </row>
    <row r="111" spans="1:6" x14ac:dyDescent="0.25">
      <c r="A111" s="10"/>
      <c r="B111" s="10"/>
      <c r="C111" s="17"/>
      <c r="D111" s="18"/>
      <c r="E111" s="18"/>
      <c r="F111" s="19">
        <f>IF(A111="","",IF(COUNTIF('Our DOs'!$B$2:$B$201,A111)&gt;0,"In our DOs","Not in our DOs"))</f>
      </c>
    </row>
    <row r="112" spans="1:6" x14ac:dyDescent="0.25">
      <c r="A112" s="10"/>
      <c r="B112" s="10"/>
      <c r="C112" s="17"/>
      <c r="D112" s="18"/>
      <c r="E112" s="18"/>
      <c r="F112" s="19">
        <f>IF(A112="","",IF(COUNTIF('Our DOs'!$B$2:$B$201,A112)&gt;0,"In our DOs","Not in our DOs"))</f>
      </c>
    </row>
    <row r="113" spans="1:6" x14ac:dyDescent="0.25">
      <c r="A113" s="10"/>
      <c r="B113" s="10"/>
      <c r="C113" s="17"/>
      <c r="D113" s="18"/>
      <c r="E113" s="18"/>
      <c r="F113" s="19">
        <f>IF(A113="","",IF(COUNTIF('Our DOs'!$B$2:$B$201,A113)&gt;0,"In our DOs","Not in our DOs"))</f>
      </c>
    </row>
    <row r="114" spans="1:6" x14ac:dyDescent="0.25">
      <c r="A114" s="10"/>
      <c r="B114" s="10"/>
      <c r="C114" s="17"/>
      <c r="D114" s="18"/>
      <c r="E114" s="18"/>
      <c r="F114" s="19">
        <f>IF(A114="","",IF(COUNTIF('Our DOs'!$B$2:$B$201,A114)&gt;0,"In our DOs","Not in our DOs"))</f>
      </c>
    </row>
    <row r="115" spans="1:6" x14ac:dyDescent="0.25">
      <c r="A115" s="10"/>
      <c r="B115" s="10"/>
      <c r="C115" s="17"/>
      <c r="D115" s="18"/>
      <c r="E115" s="18"/>
      <c r="F115" s="19">
        <f>IF(A115="","",IF(COUNTIF('Our DOs'!$B$2:$B$201,A115)&gt;0,"In our DOs","Not in our DOs"))</f>
      </c>
    </row>
    <row r="116" spans="1:6" x14ac:dyDescent="0.25">
      <c r="A116" s="10"/>
      <c r="B116" s="10"/>
      <c r="C116" s="17"/>
      <c r="D116" s="18"/>
      <c r="E116" s="18"/>
      <c r="F116" s="19">
        <f>IF(A116="","",IF(COUNTIF('Our DOs'!$B$2:$B$201,A116)&gt;0,"In our DOs","Not in our DOs"))</f>
      </c>
    </row>
    <row r="117" spans="1:6" x14ac:dyDescent="0.25">
      <c r="A117" s="10"/>
      <c r="B117" s="10"/>
      <c r="C117" s="17"/>
      <c r="D117" s="18"/>
      <c r="E117" s="18"/>
      <c r="F117" s="19">
        <f>IF(A117="","",IF(COUNTIF('Our DOs'!$B$2:$B$201,A117)&gt;0,"In our DOs","Not in our DOs"))</f>
      </c>
    </row>
    <row r="118" spans="1:6" x14ac:dyDescent="0.25">
      <c r="A118" s="10"/>
      <c r="B118" s="10"/>
      <c r="C118" s="17"/>
      <c r="D118" s="18"/>
      <c r="E118" s="18"/>
      <c r="F118" s="19">
        <f>IF(A118="","",IF(COUNTIF('Our DOs'!$B$2:$B$201,A118)&gt;0,"In our DOs","Not in our DOs"))</f>
      </c>
    </row>
    <row r="119" spans="1:6" x14ac:dyDescent="0.25">
      <c r="A119" s="10"/>
      <c r="B119" s="10"/>
      <c r="C119" s="17"/>
      <c r="D119" s="18"/>
      <c r="E119" s="18"/>
      <c r="F119" s="19">
        <f>IF(A119="","",IF(COUNTIF('Our DOs'!$B$2:$B$201,A119)&gt;0,"In our DOs","Not in our DOs"))</f>
      </c>
    </row>
    <row r="120" spans="1:6" x14ac:dyDescent="0.25">
      <c r="A120" s="10"/>
      <c r="B120" s="10"/>
      <c r="C120" s="17"/>
      <c r="D120" s="18"/>
      <c r="E120" s="18"/>
      <c r="F120" s="19">
        <f>IF(A120="","",IF(COUNTIF('Our DOs'!$B$2:$B$201,A120)&gt;0,"In our DOs","Not in our DOs"))</f>
      </c>
    </row>
    <row r="121" spans="1:6" x14ac:dyDescent="0.25">
      <c r="A121" s="10"/>
      <c r="B121" s="10"/>
      <c r="C121" s="17"/>
      <c r="D121" s="18"/>
      <c r="E121" s="18"/>
      <c r="F121" s="19">
        <f>IF(A121="","",IF(COUNTIF('Our DOs'!$B$2:$B$201,A121)&gt;0,"In our DOs","Not in our DOs"))</f>
      </c>
    </row>
    <row r="122" spans="1:6" x14ac:dyDescent="0.25">
      <c r="A122" s="10"/>
      <c r="B122" s="10"/>
      <c r="C122" s="17"/>
      <c r="D122" s="18"/>
      <c r="E122" s="18"/>
      <c r="F122" s="19">
        <f>IF(A122="","",IF(COUNTIF('Our DOs'!$B$2:$B$201,A122)&gt;0,"In our DOs","Not in our DOs"))</f>
      </c>
    </row>
    <row r="123" spans="1:6" x14ac:dyDescent="0.25">
      <c r="A123" s="10"/>
      <c r="B123" s="10"/>
      <c r="C123" s="17"/>
      <c r="D123" s="18"/>
      <c r="E123" s="18"/>
      <c r="F123" s="19">
        <f>IF(A123="","",IF(COUNTIF('Our DOs'!$B$2:$B$201,A123)&gt;0,"In our DOs","Not in our DOs"))</f>
      </c>
    </row>
    <row r="124" spans="1:6" x14ac:dyDescent="0.25">
      <c r="A124" s="10"/>
      <c r="B124" s="10"/>
      <c r="C124" s="17"/>
      <c r="D124" s="18"/>
      <c r="E124" s="18"/>
      <c r="F124" s="19">
        <f>IF(A124="","",IF(COUNTIF('Our DOs'!$B$2:$B$201,A124)&gt;0,"In our DOs","Not in our DOs"))</f>
      </c>
    </row>
    <row r="125" spans="1:6" x14ac:dyDescent="0.25">
      <c r="A125" s="10"/>
      <c r="B125" s="10"/>
      <c r="C125" s="17"/>
      <c r="D125" s="18"/>
      <c r="E125" s="18"/>
      <c r="F125" s="19">
        <f>IF(A125="","",IF(COUNTIF('Our DOs'!$B$2:$B$201,A125)&gt;0,"In our DOs","Not in our DOs"))</f>
      </c>
    </row>
    <row r="126" spans="1:6" x14ac:dyDescent="0.25">
      <c r="A126" s="10"/>
      <c r="B126" s="10"/>
      <c r="C126" s="17"/>
      <c r="D126" s="18"/>
      <c r="E126" s="18"/>
      <c r="F126" s="19">
        <f>IF(A126="","",IF(COUNTIF('Our DOs'!$B$2:$B$201,A126)&gt;0,"In our DOs","Not in our DOs"))</f>
      </c>
    </row>
    <row r="127" spans="1:6" x14ac:dyDescent="0.25">
      <c r="A127" s="10"/>
      <c r="B127" s="10"/>
      <c r="C127" s="17"/>
      <c r="D127" s="18"/>
      <c r="E127" s="18"/>
      <c r="F127" s="19">
        <f>IF(A127="","",IF(COUNTIF('Our DOs'!$B$2:$B$201,A127)&gt;0,"In our DOs","Not in our DOs"))</f>
      </c>
    </row>
    <row r="128" spans="1:6" x14ac:dyDescent="0.25">
      <c r="A128" s="10"/>
      <c r="B128" s="10"/>
      <c r="C128" s="17"/>
      <c r="D128" s="18"/>
      <c r="E128" s="18"/>
      <c r="F128" s="19">
        <f>IF(A128="","",IF(COUNTIF('Our DOs'!$B$2:$B$201,A128)&gt;0,"In our DOs","Not in our DOs"))</f>
      </c>
    </row>
    <row r="129" spans="1:6" x14ac:dyDescent="0.25">
      <c r="A129" s="10"/>
      <c r="B129" s="10"/>
      <c r="C129" s="17"/>
      <c r="D129" s="18"/>
      <c r="E129" s="18"/>
      <c r="F129" s="19">
        <f>IF(A129="","",IF(COUNTIF('Our DOs'!$B$2:$B$201,A129)&gt;0,"In our DOs","Not in our DOs"))</f>
      </c>
    </row>
    <row r="130" spans="1:6" x14ac:dyDescent="0.25">
      <c r="A130" s="10"/>
      <c r="B130" s="10"/>
      <c r="C130" s="17"/>
      <c r="D130" s="18"/>
      <c r="E130" s="18"/>
      <c r="F130" s="19">
        <f>IF(A130="","",IF(COUNTIF('Our DOs'!$B$2:$B$201,A130)&gt;0,"In our DOs","Not in our DOs"))</f>
      </c>
    </row>
    <row r="131" spans="1:6" x14ac:dyDescent="0.25">
      <c r="A131" s="10"/>
      <c r="B131" s="10"/>
      <c r="C131" s="17"/>
      <c r="D131" s="18"/>
      <c r="E131" s="18"/>
      <c r="F131" s="19">
        <f>IF(A131="","",IF(COUNTIF('Our DOs'!$B$2:$B$201,A131)&gt;0,"In our DOs","Not in our DOs"))</f>
      </c>
    </row>
    <row r="132" spans="1:6" x14ac:dyDescent="0.25">
      <c r="A132" s="10"/>
      <c r="B132" s="10"/>
      <c r="C132" s="17"/>
      <c r="D132" s="18"/>
      <c r="E132" s="18"/>
      <c r="F132" s="19">
        <f>IF(A132="","",IF(COUNTIF('Our DOs'!$B$2:$B$201,A132)&gt;0,"In our DOs","Not in our DOs"))</f>
      </c>
    </row>
    <row r="133" spans="1:6" x14ac:dyDescent="0.25">
      <c r="A133" s="10"/>
      <c r="B133" s="10"/>
      <c r="C133" s="17"/>
      <c r="D133" s="18"/>
      <c r="E133" s="18"/>
      <c r="F133" s="19">
        <f>IF(A133="","",IF(COUNTIF('Our DOs'!$B$2:$B$201,A133)&gt;0,"In our DOs","Not in our DOs"))</f>
      </c>
    </row>
    <row r="134" spans="1:6" x14ac:dyDescent="0.25">
      <c r="A134" s="10"/>
      <c r="B134" s="10"/>
      <c r="C134" s="17"/>
      <c r="D134" s="18"/>
      <c r="E134" s="18"/>
      <c r="F134" s="19">
        <f>IF(A134="","",IF(COUNTIF('Our DOs'!$B$2:$B$201,A134)&gt;0,"In our DOs","Not in our DOs"))</f>
      </c>
    </row>
    <row r="135" spans="1:6" x14ac:dyDescent="0.25">
      <c r="A135" s="10"/>
      <c r="B135" s="10"/>
      <c r="C135" s="17"/>
      <c r="D135" s="18"/>
      <c r="E135" s="18"/>
      <c r="F135" s="19">
        <f>IF(A135="","",IF(COUNTIF('Our DOs'!$B$2:$B$201,A135)&gt;0,"In our DOs","Not in our DOs"))</f>
      </c>
    </row>
    <row r="136" spans="1:6" x14ac:dyDescent="0.25">
      <c r="A136" s="10"/>
      <c r="B136" s="10"/>
      <c r="C136" s="17"/>
      <c r="D136" s="18"/>
      <c r="E136" s="18"/>
      <c r="F136" s="19">
        <f>IF(A136="","",IF(COUNTIF('Our DOs'!$B$2:$B$201,A136)&gt;0,"In our DOs","Not in our DOs"))</f>
      </c>
    </row>
    <row r="137" spans="1:6" x14ac:dyDescent="0.25">
      <c r="A137" s="10"/>
      <c r="B137" s="10"/>
      <c r="C137" s="17"/>
      <c r="D137" s="18"/>
      <c r="E137" s="18"/>
      <c r="F137" s="19">
        <f>IF(A137="","",IF(COUNTIF('Our DOs'!$B$2:$B$201,A137)&gt;0,"In our DOs","Not in our DOs"))</f>
      </c>
    </row>
    <row r="138" spans="1:6" x14ac:dyDescent="0.25">
      <c r="A138" s="10"/>
      <c r="B138" s="10"/>
      <c r="C138" s="17"/>
      <c r="D138" s="18"/>
      <c r="E138" s="18"/>
      <c r="F138" s="19">
        <f>IF(A138="","",IF(COUNTIF('Our DOs'!$B$2:$B$201,A138)&gt;0,"In our DOs","Not in our DOs"))</f>
      </c>
    </row>
    <row r="139" spans="1:6" x14ac:dyDescent="0.25">
      <c r="A139" s="10"/>
      <c r="B139" s="10"/>
      <c r="C139" s="17"/>
      <c r="D139" s="18"/>
      <c r="E139" s="18"/>
      <c r="F139" s="19">
        <f>IF(A139="","",IF(COUNTIF('Our DOs'!$B$2:$B$201,A139)&gt;0,"In our DOs","Not in our DOs"))</f>
      </c>
    </row>
    <row r="140" spans="1:6" x14ac:dyDescent="0.25">
      <c r="A140" s="10"/>
      <c r="B140" s="10"/>
      <c r="C140" s="17"/>
      <c r="D140" s="18"/>
      <c r="E140" s="18"/>
      <c r="F140" s="19">
        <f>IF(A140="","",IF(COUNTIF('Our DOs'!$B$2:$B$201,A140)&gt;0,"In our DOs","Not in our DOs"))</f>
      </c>
    </row>
    <row r="141" spans="1:6" x14ac:dyDescent="0.25">
      <c r="A141" s="10"/>
      <c r="B141" s="10"/>
      <c r="C141" s="17"/>
      <c r="D141" s="18"/>
      <c r="E141" s="18"/>
      <c r="F141" s="19">
        <f>IF(A141="","",IF(COUNTIF('Our DOs'!$B$2:$B$201,A141)&gt;0,"In our DOs","Not in our DOs"))</f>
      </c>
    </row>
    <row r="142" spans="1:6" x14ac:dyDescent="0.25">
      <c r="A142" s="10"/>
      <c r="B142" s="10"/>
      <c r="C142" s="17"/>
      <c r="D142" s="18"/>
      <c r="E142" s="18"/>
      <c r="F142" s="19">
        <f>IF(A142="","",IF(COUNTIF('Our DOs'!$B$2:$B$201,A142)&gt;0,"In our DOs","Not in our DOs"))</f>
      </c>
    </row>
    <row r="143" spans="1:6" x14ac:dyDescent="0.25">
      <c r="A143" s="10"/>
      <c r="B143" s="10"/>
      <c r="C143" s="17"/>
      <c r="D143" s="18"/>
      <c r="E143" s="18"/>
      <c r="F143" s="19">
        <f>IF(A143="","",IF(COUNTIF('Our DOs'!$B$2:$B$201,A143)&gt;0,"In our DOs","Not in our DOs"))</f>
      </c>
    </row>
    <row r="144" spans="1:6" x14ac:dyDescent="0.25">
      <c r="A144" s="10"/>
      <c r="B144" s="10"/>
      <c r="C144" s="17"/>
      <c r="D144" s="18"/>
      <c r="E144" s="18"/>
      <c r="F144" s="19">
        <f>IF(A144="","",IF(COUNTIF('Our DOs'!$B$2:$B$201,A144)&gt;0,"In our DOs","Not in our DOs"))</f>
      </c>
    </row>
    <row r="145" spans="1:6" x14ac:dyDescent="0.25">
      <c r="A145" s="10"/>
      <c r="B145" s="10"/>
      <c r="C145" s="17"/>
      <c r="D145" s="18"/>
      <c r="E145" s="18"/>
      <c r="F145" s="19">
        <f>IF(A145="","",IF(COUNTIF('Our DOs'!$B$2:$B$201,A145)&gt;0,"In our DOs","Not in our DOs"))</f>
      </c>
    </row>
    <row r="146" spans="1:6" x14ac:dyDescent="0.25">
      <c r="A146" s="10"/>
      <c r="B146" s="10"/>
      <c r="C146" s="17"/>
      <c r="D146" s="18"/>
      <c r="E146" s="18"/>
      <c r="F146" s="19">
        <f>IF(A146="","",IF(COUNTIF('Our DOs'!$B$2:$B$201,A146)&gt;0,"In our DOs","Not in our DOs"))</f>
      </c>
    </row>
    <row r="147" spans="1:6" x14ac:dyDescent="0.25">
      <c r="A147" s="10"/>
      <c r="B147" s="10"/>
      <c r="C147" s="17"/>
      <c r="D147" s="18"/>
      <c r="E147" s="18"/>
      <c r="F147" s="19">
        <f>IF(A147="","",IF(COUNTIF('Our DOs'!$B$2:$B$201,A147)&gt;0,"In our DOs","Not in our DOs"))</f>
      </c>
    </row>
    <row r="148" spans="1:6" x14ac:dyDescent="0.25">
      <c r="A148" s="10"/>
      <c r="B148" s="10"/>
      <c r="C148" s="17"/>
      <c r="D148" s="18"/>
      <c r="E148" s="18"/>
      <c r="F148" s="19">
        <f>IF(A148="","",IF(COUNTIF('Our DOs'!$B$2:$B$201,A148)&gt;0,"In our DOs","Not in our DOs"))</f>
      </c>
    </row>
    <row r="149" spans="1:6" x14ac:dyDescent="0.25">
      <c r="A149" s="10"/>
      <c r="B149" s="10"/>
      <c r="C149" s="17"/>
      <c r="D149" s="18"/>
      <c r="E149" s="18"/>
      <c r="F149" s="19">
        <f>IF(A149="","",IF(COUNTIF('Our DOs'!$B$2:$B$201,A149)&gt;0,"In our DOs","Not in our DOs"))</f>
      </c>
    </row>
    <row r="150" spans="1:6" x14ac:dyDescent="0.25">
      <c r="A150" s="10"/>
      <c r="B150" s="10"/>
      <c r="C150" s="17"/>
      <c r="D150" s="18"/>
      <c r="E150" s="18"/>
      <c r="F150" s="19">
        <f>IF(A150="","",IF(COUNTIF('Our DOs'!$B$2:$B$201,A150)&gt;0,"In our DOs","Not in our DOs"))</f>
      </c>
    </row>
    <row r="151" spans="1:6" x14ac:dyDescent="0.25">
      <c r="A151" s="10"/>
      <c r="B151" s="10"/>
      <c r="C151" s="17"/>
      <c r="D151" s="18"/>
      <c r="E151" s="18"/>
      <c r="F151" s="19">
        <f>IF(A151="","",IF(COUNTIF('Our DOs'!$B$2:$B$201,A151)&gt;0,"In our DOs","Not in our DOs"))</f>
      </c>
    </row>
    <row r="152" spans="1:6" x14ac:dyDescent="0.25">
      <c r="A152" s="10"/>
      <c r="B152" s="10"/>
      <c r="C152" s="17"/>
      <c r="D152" s="18"/>
      <c r="E152" s="18"/>
      <c r="F152" s="19">
        <f>IF(A152="","",IF(COUNTIF('Our DOs'!$B$2:$B$201,A152)&gt;0,"In our DOs","Not in our DOs"))</f>
      </c>
    </row>
    <row r="153" spans="1:6" x14ac:dyDescent="0.25">
      <c r="A153" s="10"/>
      <c r="B153" s="10"/>
      <c r="C153" s="17"/>
      <c r="D153" s="18"/>
      <c r="E153" s="18"/>
      <c r="F153" s="19">
        <f>IF(A153="","",IF(COUNTIF('Our DOs'!$B$2:$B$201,A153)&gt;0,"In our DOs","Not in our DOs"))</f>
      </c>
    </row>
    <row r="154" spans="1:6" x14ac:dyDescent="0.25">
      <c r="A154" s="10"/>
      <c r="B154" s="10"/>
      <c r="C154" s="17"/>
      <c r="D154" s="18"/>
      <c r="E154" s="18"/>
      <c r="F154" s="19">
        <f>IF(A154="","",IF(COUNTIF('Our DOs'!$B$2:$B$201,A154)&gt;0,"In our DOs","Not in our DOs"))</f>
      </c>
    </row>
    <row r="155" spans="1:6" x14ac:dyDescent="0.25">
      <c r="A155" s="10"/>
      <c r="B155" s="10"/>
      <c r="C155" s="17"/>
      <c r="D155" s="18"/>
      <c r="E155" s="18"/>
      <c r="F155" s="19">
        <f>IF(A155="","",IF(COUNTIF('Our DOs'!$B$2:$B$201,A155)&gt;0,"In our DOs","Not in our DOs"))</f>
      </c>
    </row>
    <row r="156" spans="1:6" x14ac:dyDescent="0.25">
      <c r="A156" s="10"/>
      <c r="B156" s="10"/>
      <c r="C156" s="17"/>
      <c r="D156" s="18"/>
      <c r="E156" s="18"/>
      <c r="F156" s="19">
        <f>IF(A156="","",IF(COUNTIF('Our DOs'!$B$2:$B$201,A156)&gt;0,"In our DOs","Not in our DOs"))</f>
      </c>
    </row>
    <row r="157" spans="1:6" x14ac:dyDescent="0.25">
      <c r="A157" s="10"/>
      <c r="B157" s="10"/>
      <c r="C157" s="17"/>
      <c r="D157" s="18"/>
      <c r="E157" s="18"/>
      <c r="F157" s="19">
        <f>IF(A157="","",IF(COUNTIF('Our DOs'!$B$2:$B$201,A157)&gt;0,"In our DOs","Not in our DOs"))</f>
      </c>
    </row>
    <row r="158" spans="1:6" x14ac:dyDescent="0.25">
      <c r="A158" s="10"/>
      <c r="B158" s="10"/>
      <c r="C158" s="17"/>
      <c r="D158" s="18"/>
      <c r="E158" s="18"/>
      <c r="F158" s="19">
        <f>IF(A158="","",IF(COUNTIF('Our DOs'!$B$2:$B$201,A158)&gt;0,"In our DOs","Not in our DOs"))</f>
      </c>
    </row>
    <row r="159" spans="1:6" x14ac:dyDescent="0.25">
      <c r="A159" s="10"/>
      <c r="B159" s="10"/>
      <c r="C159" s="17"/>
      <c r="D159" s="18"/>
      <c r="E159" s="18"/>
      <c r="F159" s="19">
        <f>IF(A159="","",IF(COUNTIF('Our DOs'!$B$2:$B$201,A159)&gt;0,"In our DOs","Not in our DOs"))</f>
      </c>
    </row>
    <row r="160" spans="1:6" x14ac:dyDescent="0.25">
      <c r="A160" s="10"/>
      <c r="B160" s="10"/>
      <c r="C160" s="17"/>
      <c r="D160" s="18"/>
      <c r="E160" s="18"/>
      <c r="F160" s="19">
        <f>IF(A160="","",IF(COUNTIF('Our DOs'!$B$2:$B$201,A160)&gt;0,"In our DOs","Not in our DOs"))</f>
      </c>
    </row>
    <row r="161" spans="1:6" x14ac:dyDescent="0.25">
      <c r="A161" s="10"/>
      <c r="B161" s="10"/>
      <c r="C161" s="17"/>
      <c r="D161" s="18"/>
      <c r="E161" s="18"/>
      <c r="F161" s="19">
        <f>IF(A161="","",IF(COUNTIF('Our DOs'!$B$2:$B$201,A161)&gt;0,"In our DOs","Not in our DOs"))</f>
      </c>
    </row>
    <row r="162" spans="1:6" x14ac:dyDescent="0.25">
      <c r="A162" s="10"/>
      <c r="B162" s="10"/>
      <c r="C162" s="17"/>
      <c r="D162" s="18"/>
      <c r="E162" s="18"/>
      <c r="F162" s="19">
        <f>IF(A162="","",IF(COUNTIF('Our DOs'!$B$2:$B$201,A162)&gt;0,"In our DOs","Not in our DOs"))</f>
      </c>
    </row>
    <row r="163" spans="1:6" x14ac:dyDescent="0.25">
      <c r="A163" s="10"/>
      <c r="B163" s="10"/>
      <c r="C163" s="17"/>
      <c r="D163" s="18"/>
      <c r="E163" s="18"/>
      <c r="F163" s="19">
        <f>IF(A163="","",IF(COUNTIF('Our DOs'!$B$2:$B$201,A163)&gt;0,"In our DOs","Not in our DOs"))</f>
      </c>
    </row>
    <row r="164" spans="1:6" x14ac:dyDescent="0.25">
      <c r="A164" s="10"/>
      <c r="B164" s="10"/>
      <c r="C164" s="17"/>
      <c r="D164" s="18"/>
      <c r="E164" s="18"/>
      <c r="F164" s="19">
        <f>IF(A164="","",IF(COUNTIF('Our DOs'!$B$2:$B$201,A164)&gt;0,"In our DOs","Not in our DOs"))</f>
      </c>
    </row>
    <row r="165" spans="1:6" x14ac:dyDescent="0.25">
      <c r="A165" s="10"/>
      <c r="B165" s="10"/>
      <c r="C165" s="17"/>
      <c r="D165" s="18"/>
      <c r="E165" s="18"/>
      <c r="F165" s="19">
        <f>IF(A165="","",IF(COUNTIF('Our DOs'!$B$2:$B$201,A165)&gt;0,"In our DOs","Not in our DOs"))</f>
      </c>
    </row>
    <row r="166" spans="1:6" x14ac:dyDescent="0.25">
      <c r="A166" s="10"/>
      <c r="B166" s="10"/>
      <c r="C166" s="17"/>
      <c r="D166" s="18"/>
      <c r="E166" s="18"/>
      <c r="F166" s="19">
        <f>IF(A166="","",IF(COUNTIF('Our DOs'!$B$2:$B$201,A166)&gt;0,"In our DOs","Not in our DOs"))</f>
      </c>
    </row>
    <row r="167" spans="1:6" x14ac:dyDescent="0.25">
      <c r="A167" s="10"/>
      <c r="B167" s="10"/>
      <c r="C167" s="17"/>
      <c r="D167" s="18"/>
      <c r="E167" s="18"/>
      <c r="F167" s="19">
        <f>IF(A167="","",IF(COUNTIF('Our DOs'!$B$2:$B$201,A167)&gt;0,"In our DOs","Not in our DOs"))</f>
      </c>
    </row>
    <row r="168" spans="1:6" x14ac:dyDescent="0.25">
      <c r="A168" s="10"/>
      <c r="B168" s="10"/>
      <c r="C168" s="17"/>
      <c r="D168" s="18"/>
      <c r="E168" s="18"/>
      <c r="F168" s="19">
        <f>IF(A168="","",IF(COUNTIF('Our DOs'!$B$2:$B$201,A168)&gt;0,"In our DOs","Not in our DOs"))</f>
      </c>
    </row>
    <row r="169" spans="1:6" x14ac:dyDescent="0.25">
      <c r="A169" s="10"/>
      <c r="B169" s="10"/>
      <c r="C169" s="17"/>
      <c r="D169" s="18"/>
      <c r="E169" s="18"/>
      <c r="F169" s="19">
        <f>IF(A169="","",IF(COUNTIF('Our DOs'!$B$2:$B$201,A169)&gt;0,"In our DOs","Not in our DOs"))</f>
      </c>
    </row>
    <row r="170" spans="1:6" x14ac:dyDescent="0.25">
      <c r="A170" s="10"/>
      <c r="B170" s="10"/>
      <c r="C170" s="17"/>
      <c r="D170" s="18"/>
      <c r="E170" s="18"/>
      <c r="F170" s="19">
        <f>IF(A170="","",IF(COUNTIF('Our DOs'!$B$2:$B$201,A170)&gt;0,"In our DOs","Not in our DOs"))</f>
      </c>
    </row>
    <row r="171" spans="1:6" x14ac:dyDescent="0.25">
      <c r="A171" s="10"/>
      <c r="B171" s="10"/>
      <c r="C171" s="17"/>
      <c r="D171" s="18"/>
      <c r="E171" s="18"/>
      <c r="F171" s="19">
        <f>IF(A171="","",IF(COUNTIF('Our DOs'!$B$2:$B$201,A171)&gt;0,"In our DOs","Not in our DOs"))</f>
      </c>
    </row>
    <row r="172" spans="1:6" x14ac:dyDescent="0.25">
      <c r="A172" s="10"/>
      <c r="B172" s="10"/>
      <c r="C172" s="17"/>
      <c r="D172" s="18"/>
      <c r="E172" s="18"/>
      <c r="F172" s="19">
        <f>IF(A172="","",IF(COUNTIF('Our DOs'!$B$2:$B$201,A172)&gt;0,"In our DOs","Not in our DOs"))</f>
      </c>
    </row>
    <row r="173" spans="1:6" x14ac:dyDescent="0.25">
      <c r="A173" s="10"/>
      <c r="B173" s="10"/>
      <c r="C173" s="17"/>
      <c r="D173" s="18"/>
      <c r="E173" s="18"/>
      <c r="F173" s="19">
        <f>IF(A173="","",IF(COUNTIF('Our DOs'!$B$2:$B$201,A173)&gt;0,"In our DOs","Not in our DOs"))</f>
      </c>
    </row>
    <row r="174" spans="1:6" x14ac:dyDescent="0.25">
      <c r="A174" s="10"/>
      <c r="B174" s="10"/>
      <c r="C174" s="17"/>
      <c r="D174" s="18"/>
      <c r="E174" s="18"/>
      <c r="F174" s="19">
        <f>IF(A174="","",IF(COUNTIF('Our DOs'!$B$2:$B$201,A174)&gt;0,"In our DOs","Not in our DOs"))</f>
      </c>
    </row>
    <row r="175" spans="1:6" x14ac:dyDescent="0.25">
      <c r="A175" s="10"/>
      <c r="B175" s="10"/>
      <c r="C175" s="17"/>
      <c r="D175" s="18"/>
      <c r="E175" s="18"/>
      <c r="F175" s="19">
        <f>IF(A175="","",IF(COUNTIF('Our DOs'!$B$2:$B$201,A175)&gt;0,"In our DOs","Not in our DOs"))</f>
      </c>
    </row>
    <row r="176" spans="1:6" x14ac:dyDescent="0.25">
      <c r="A176" s="10"/>
      <c r="B176" s="10"/>
      <c r="C176" s="17"/>
      <c r="D176" s="18"/>
      <c r="E176" s="18"/>
      <c r="F176" s="19">
        <f>IF(A176="","",IF(COUNTIF('Our DOs'!$B$2:$B$201,A176)&gt;0,"In our DOs","Not in our DOs"))</f>
      </c>
    </row>
    <row r="177" spans="1:6" x14ac:dyDescent="0.25">
      <c r="A177" s="10"/>
      <c r="B177" s="10"/>
      <c r="C177" s="17"/>
      <c r="D177" s="18"/>
      <c r="E177" s="18"/>
      <c r="F177" s="19">
        <f>IF(A177="","",IF(COUNTIF('Our DOs'!$B$2:$B$201,A177)&gt;0,"In our DOs","Not in our DOs"))</f>
      </c>
    </row>
    <row r="178" spans="1:6" x14ac:dyDescent="0.25">
      <c r="A178" s="10"/>
      <c r="B178" s="10"/>
      <c r="C178" s="17"/>
      <c r="D178" s="18"/>
      <c r="E178" s="18"/>
      <c r="F178" s="19">
        <f>IF(A178="","",IF(COUNTIF('Our DOs'!$B$2:$B$201,A178)&gt;0,"In our DOs","Not in our DOs"))</f>
      </c>
    </row>
    <row r="179" spans="1:6" x14ac:dyDescent="0.25">
      <c r="A179" s="10"/>
      <c r="B179" s="10"/>
      <c r="C179" s="17"/>
      <c r="D179" s="18"/>
      <c r="E179" s="18"/>
      <c r="F179" s="19">
        <f>IF(A179="","",IF(COUNTIF('Our DOs'!$B$2:$B$201,A179)&gt;0,"In our DOs","Not in our DOs"))</f>
      </c>
    </row>
    <row r="180" spans="1:6" x14ac:dyDescent="0.25">
      <c r="A180" s="10"/>
      <c r="B180" s="10"/>
      <c r="C180" s="17"/>
      <c r="D180" s="18"/>
      <c r="E180" s="18"/>
      <c r="F180" s="19">
        <f>IF(A180="","",IF(COUNTIF('Our DOs'!$B$2:$B$201,A180)&gt;0,"In our DOs","Not in our DOs"))</f>
      </c>
    </row>
    <row r="181" spans="1:6" x14ac:dyDescent="0.25">
      <c r="A181" s="10"/>
      <c r="B181" s="10"/>
      <c r="C181" s="17"/>
      <c r="D181" s="18"/>
      <c r="E181" s="18"/>
      <c r="F181" s="19">
        <f>IF(A181="","",IF(COUNTIF('Our DOs'!$B$2:$B$201,A181)&gt;0,"In our DOs","Not in our DOs"))</f>
      </c>
    </row>
    <row r="182" spans="1:6" x14ac:dyDescent="0.25">
      <c r="A182" s="10"/>
      <c r="B182" s="10"/>
      <c r="C182" s="17"/>
      <c r="D182" s="18"/>
      <c r="E182" s="18"/>
      <c r="F182" s="19">
        <f>IF(A182="","",IF(COUNTIF('Our DOs'!$B$2:$B$201,A182)&gt;0,"In our DOs","Not in our DOs"))</f>
      </c>
    </row>
    <row r="183" spans="1:6" x14ac:dyDescent="0.25">
      <c r="A183" s="10"/>
      <c r="B183" s="10"/>
      <c r="C183" s="17"/>
      <c r="D183" s="18"/>
      <c r="E183" s="18"/>
      <c r="F183" s="19">
        <f>IF(A183="","",IF(COUNTIF('Our DOs'!$B$2:$B$201,A183)&gt;0,"In our DOs","Not in our DOs"))</f>
      </c>
    </row>
    <row r="184" spans="1:6" x14ac:dyDescent="0.25">
      <c r="A184" s="10"/>
      <c r="B184" s="10"/>
      <c r="C184" s="17"/>
      <c r="D184" s="18"/>
      <c r="E184" s="18"/>
      <c r="F184" s="19">
        <f>IF(A184="","",IF(COUNTIF('Our DOs'!$B$2:$B$201,A184)&gt;0,"In our DOs","Not in our DOs"))</f>
      </c>
    </row>
    <row r="185" spans="1:6" x14ac:dyDescent="0.25">
      <c r="A185" s="10"/>
      <c r="B185" s="10"/>
      <c r="C185" s="17"/>
      <c r="D185" s="18"/>
      <c r="E185" s="18"/>
      <c r="F185" s="19">
        <f>IF(A185="","",IF(COUNTIF('Our DOs'!$B$2:$B$201,A185)&gt;0,"In our DOs","Not in our DOs"))</f>
      </c>
    </row>
    <row r="186" spans="1:6" x14ac:dyDescent="0.25">
      <c r="A186" s="10"/>
      <c r="B186" s="10"/>
      <c r="C186" s="17"/>
      <c r="D186" s="18"/>
      <c r="E186" s="18"/>
      <c r="F186" s="19">
        <f>IF(A186="","",IF(COUNTIF('Our DOs'!$B$2:$B$201,A186)&gt;0,"In our DOs","Not in our DOs"))</f>
      </c>
    </row>
    <row r="187" spans="1:6" x14ac:dyDescent="0.25">
      <c r="A187" s="10"/>
      <c r="B187" s="10"/>
      <c r="C187" s="17"/>
      <c r="D187" s="18"/>
      <c r="E187" s="18"/>
      <c r="F187" s="19">
        <f>IF(A187="","",IF(COUNTIF('Our DOs'!$B$2:$B$201,A187)&gt;0,"In our DOs","Not in our DOs"))</f>
      </c>
    </row>
    <row r="188" spans="1:6" x14ac:dyDescent="0.25">
      <c r="A188" s="10"/>
      <c r="B188" s="10"/>
      <c r="C188" s="17"/>
      <c r="D188" s="18"/>
      <c r="E188" s="18"/>
      <c r="F188" s="19">
        <f>IF(A188="","",IF(COUNTIF('Our DOs'!$B$2:$B$201,A188)&gt;0,"In our DOs","Not in our DOs"))</f>
      </c>
    </row>
    <row r="189" spans="1:6" x14ac:dyDescent="0.25">
      <c r="A189" s="10"/>
      <c r="B189" s="10"/>
      <c r="C189" s="17"/>
      <c r="D189" s="18"/>
      <c r="E189" s="18"/>
      <c r="F189" s="19">
        <f>IF(A189="","",IF(COUNTIF('Our DOs'!$B$2:$B$201,A189)&gt;0,"In our DOs","Not in our DOs"))</f>
      </c>
    </row>
    <row r="190" spans="1:6" x14ac:dyDescent="0.25">
      <c r="A190" s="10"/>
      <c r="B190" s="10"/>
      <c r="C190" s="17"/>
      <c r="D190" s="18"/>
      <c r="E190" s="18"/>
      <c r="F190" s="19">
        <f>IF(A190="","",IF(COUNTIF('Our DOs'!$B$2:$B$201,A190)&gt;0,"In our DOs","Not in our DOs"))</f>
      </c>
    </row>
    <row r="191" spans="1:6" x14ac:dyDescent="0.25">
      <c r="A191" s="10"/>
      <c r="B191" s="10"/>
      <c r="C191" s="17"/>
      <c r="D191" s="18"/>
      <c r="E191" s="18"/>
      <c r="F191" s="19">
        <f>IF(A191="","",IF(COUNTIF('Our DOs'!$B$2:$B$201,A191)&gt;0,"In our DOs","Not in our DOs"))</f>
      </c>
    </row>
    <row r="192" spans="1:6" x14ac:dyDescent="0.25">
      <c r="A192" s="10"/>
      <c r="B192" s="10"/>
      <c r="C192" s="17"/>
      <c r="D192" s="18"/>
      <c r="E192" s="18"/>
      <c r="F192" s="19">
        <f>IF(A192="","",IF(COUNTIF('Our DOs'!$B$2:$B$201,A192)&gt;0,"In our DOs","Not in our DOs"))</f>
      </c>
    </row>
    <row r="193" spans="1:6" x14ac:dyDescent="0.25">
      <c r="A193" s="10"/>
      <c r="B193" s="10"/>
      <c r="C193" s="17"/>
      <c r="D193" s="18"/>
      <c r="E193" s="18"/>
      <c r="F193" s="19">
        <f>IF(A193="","",IF(COUNTIF('Our DOs'!$B$2:$B$201,A193)&gt;0,"In our DOs","Not in our DOs"))</f>
      </c>
    </row>
    <row r="194" spans="1:6" x14ac:dyDescent="0.25">
      <c r="A194" s="10"/>
      <c r="B194" s="10"/>
      <c r="C194" s="17"/>
      <c r="D194" s="18"/>
      <c r="E194" s="18"/>
      <c r="F194" s="19">
        <f>IF(A194="","",IF(COUNTIF('Our DOs'!$B$2:$B$201,A194)&gt;0,"In our DOs","Not in our DOs"))</f>
      </c>
    </row>
    <row r="195" spans="1:6" x14ac:dyDescent="0.25">
      <c r="A195" s="10"/>
      <c r="B195" s="10"/>
      <c r="C195" s="17"/>
      <c r="D195" s="18"/>
      <c r="E195" s="18"/>
      <c r="F195" s="19">
        <f>IF(A195="","",IF(COUNTIF('Our DOs'!$B$2:$B$201,A195)&gt;0,"In our DOs","Not in our DOs"))</f>
      </c>
    </row>
    <row r="196" spans="1:6" x14ac:dyDescent="0.25">
      <c r="A196" s="10"/>
      <c r="B196" s="10"/>
      <c r="C196" s="17"/>
      <c r="D196" s="18"/>
      <c r="E196" s="18"/>
      <c r="F196" s="19">
        <f>IF(A196="","",IF(COUNTIF('Our DOs'!$B$2:$B$201,A196)&gt;0,"In our DOs","Not in our DOs"))</f>
      </c>
    </row>
    <row r="197" spans="1:6" x14ac:dyDescent="0.25">
      <c r="A197" s="10"/>
      <c r="B197" s="10"/>
      <c r="C197" s="17"/>
      <c r="D197" s="18"/>
      <c r="E197" s="18"/>
      <c r="F197" s="19">
        <f>IF(A197="","",IF(COUNTIF('Our DOs'!$B$2:$B$201,A197)&gt;0,"In our DOs","Not in our DOs"))</f>
      </c>
    </row>
    <row r="198" spans="1:6" x14ac:dyDescent="0.25">
      <c r="A198" s="10"/>
      <c r="B198" s="10"/>
      <c r="C198" s="17"/>
      <c r="D198" s="18"/>
      <c r="E198" s="18"/>
      <c r="F198" s="19">
        <f>IF(A198="","",IF(COUNTIF('Our DOs'!$B$2:$B$201,A198)&gt;0,"In our DOs","Not in our DOs"))</f>
      </c>
    </row>
    <row r="199" spans="1:6" x14ac:dyDescent="0.25">
      <c r="A199" s="10"/>
      <c r="B199" s="10"/>
      <c r="C199" s="17"/>
      <c r="D199" s="18"/>
      <c r="E199" s="18"/>
      <c r="F199" s="19">
        <f>IF(A199="","",IF(COUNTIF('Our DOs'!$B$2:$B$201,A199)&gt;0,"In our DOs","Not in our DOs"))</f>
      </c>
    </row>
    <row r="200" spans="1:6" x14ac:dyDescent="0.25">
      <c r="A200" s="10"/>
      <c r="B200" s="10"/>
      <c r="C200" s="17"/>
      <c r="D200" s="18"/>
      <c r="E200" s="18"/>
      <c r="F200" s="19">
        <f>IF(A200="","",IF(COUNTIF('Our DOs'!$B$2:$B$201,A200)&gt;0,"In our DOs","Not in our DOs"))</f>
      </c>
    </row>
    <row r="201" spans="1:6" x14ac:dyDescent="0.25">
      <c r="A201" s="10"/>
      <c r="B201" s="10"/>
      <c r="C201" s="17"/>
      <c r="D201" s="18"/>
      <c r="E201" s="18"/>
      <c r="F201" s="19">
        <f>IF(A201="","",IF(COUNTIF('Our DOs'!$B$2:$B$201,A201)&gt;0,"In our DOs","Not in our DOs"))</f>
      </c>
    </row>
  </sheetData>
  <pageMargins left="0.7" right="0.7" top="0.75" bottom="0.75" header="0.3" footer="0.3"/>
  <pageSetup orientation="portrait" horizontalDpi="4294967295" verticalDpi="4294967295" scale="100" fitToWidth="1" fitToHeight="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workbookViewId="0">
      <pane ySplit="9" topLeftCell="A10" activePane="bottomLeft" state="frozen"/>
      <selection pane="bottomLeft"/>
    </sheetView>
  </sheetViews>
  <sheetFormatPr defaultRowHeight="15" outlineLevelRow="0" outlineLevelCol="0" x14ac:dyDescent="55"/>
  <cols>
    <col min="1" max="1" width="16" customWidth="1"/>
    <col min="2" max="2" width="14" customWidth="1"/>
    <col min="3" max="3" width="26" customWidth="1"/>
    <col min="4" max="4" width="14" customWidth="1"/>
    <col min="5" max="5" width="15" customWidth="1"/>
    <col min="6" max="6" width="17" customWidth="1"/>
    <col min="7" max="8" width="16" customWidth="1"/>
    <col min="9" max="9" width="12" customWidth="1"/>
    <col min="10" max="10" width="14" customWidth="1"/>
    <col min="11" max="11" width="18" customWidth="1"/>
    <col min="12" max="12" width="8" customWidth="1"/>
    <col min="13" max="13" width="70" customWidth="1"/>
    <col min="14" max="14" width="9" hidden="1" customWidth="1"/>
  </cols>
  <sheetData>
    <row r="1" ht="26" customHeight="1" spans="1:1" x14ac:dyDescent="0.25">
      <c r="A1" s="7" t="s">
        <v>75</v>
      </c>
    </row>
    <row r="2" spans="1:1" x14ac:dyDescent="0.25">
      <c r="A2" s="8" t="s">
        <v>76</v>
      </c>
    </row>
    <row r="3" spans="1:2" x14ac:dyDescent="0.25">
      <c r="A3" s="9" t="s">
        <v>77</v>
      </c>
      <c r="B3" s="20">
        <f>COUNTIF(I10:I209,"Matches")+COUNTIF(I10:I209,"Differs")+COUNTIF(I10:I209,"Missing")+COUNTIF(I10:I209,"No PO yet")</f>
      </c>
    </row>
    <row r="4" spans="1:2" x14ac:dyDescent="0.25">
      <c r="A4" s="9" t="s">
        <v>78</v>
      </c>
      <c r="B4" s="20">
        <f>SUM(N10:N209)</f>
      </c>
    </row>
    <row r="5" spans="1:2" x14ac:dyDescent="0.25">
      <c r="A5" s="9" t="s">
        <v>79</v>
      </c>
      <c r="B5" s="20">
        <f>COUNTIF(I10:I209,"Missing")</f>
      </c>
    </row>
    <row r="6" spans="1:2" x14ac:dyDescent="0.25">
      <c r="A6" s="9" t="s">
        <v>80</v>
      </c>
      <c r="B6" s="20">
        <f>COUNTIF(I10:I209,"Differs")</f>
      </c>
    </row>
    <row r="7" spans="1:2" x14ac:dyDescent="0.25">
      <c r="A7" s="9" t="s">
        <v>81</v>
      </c>
      <c r="B7" s="21">
        <f>SUM(J10:J209)</f>
      </c>
    </row>
    <row r="8" spans="1:2" x14ac:dyDescent="0.25">
      <c r="A8" s="9" t="s">
        <v>82</v>
      </c>
      <c r="B8" s="20">
        <f>COUNTIF('Their statement'!F2:F201,"Not in our DOs")</f>
      </c>
    </row>
    <row r="9" ht="32" customHeight="1" spans="1:14" x14ac:dyDescent="0.25">
      <c r="A9" s="13" t="s">
        <v>37</v>
      </c>
      <c r="B9" s="13" t="s">
        <v>38</v>
      </c>
      <c r="C9" s="13" t="s">
        <v>39</v>
      </c>
      <c r="D9" s="13" t="s">
        <v>83</v>
      </c>
      <c r="E9" s="13" t="s">
        <v>84</v>
      </c>
      <c r="F9" s="13" t="s">
        <v>42</v>
      </c>
      <c r="G9" s="13" t="s">
        <v>85</v>
      </c>
      <c r="H9" s="13" t="s">
        <v>68</v>
      </c>
      <c r="I9" s="13" t="s">
        <v>86</v>
      </c>
      <c r="J9" s="13" t="s">
        <v>87</v>
      </c>
      <c r="K9" s="13" t="s">
        <v>88</v>
      </c>
      <c r="L9" s="13" t="s">
        <v>89</v>
      </c>
      <c r="M9" s="13" t="s">
        <v>90</v>
      </c>
      <c r="N9" s="13" t="s">
        <v>91</v>
      </c>
    </row>
    <row r="10" spans="1:14" x14ac:dyDescent="0.25">
      <c r="A10" s="19">
        <f>IF('Our DOs'!A2="","",'Our DOs'!A2)</f>
      </c>
      <c r="B10" s="19">
        <f>IF(A10="","",'Our DOs'!B2)</f>
      </c>
      <c r="C10" s="19">
        <f>IF(A10="","",'Our DOs'!C2)</f>
      </c>
      <c r="D10" s="19">
        <f>IF(A10="","",'Our DOs'!D2)</f>
      </c>
      <c r="E10" s="22">
        <f>IF(A10="","",'Our DOs'!E2)</f>
      </c>
      <c r="F10" s="22">
        <f>IF(A10="","",'Our DOs'!F2)</f>
      </c>
      <c r="G10" s="22">
        <f>IF(OR(A10="",B10=""),"",IFERROR(INDEX('Their statement'!$D$2:$D$201,MATCH(B10,'Their statement'!$A$2:$A$201,0)),""))</f>
      </c>
      <c r="H10" s="22">
        <f>IF(OR(A10="",B10=""),"",IFERROR(INDEX('Their statement'!$E$2:$E$201,MATCH(B10,'Their statement'!$A$2:$A$201,0)),""))</f>
      </c>
      <c r="I10" s="19">
        <f>IF(A10="","",IF(B10="","No PO yet",IF(ISNUMBER(MATCH(B10,'Their statement'!$A$2:$A$201,0)),IF(AND(ROUND(F10-IF(H10="",0,H10),2)=0,OR(G10="",ROUND(E10-IF(G10="",0,G10),2)=0)),"Matches","Differs"),"Missing")))</f>
      </c>
      <c r="J10" s="22">
        <f>IF(OR(I10="Missing",I10="Differs"),F10-IF(H10="",0,H10),"")</f>
      </c>
      <c r="K10" s="10"/>
      <c r="L10" s="23">
        <f>IF(N10=1,SUM($N$10:N10),"")</f>
      </c>
      <c r="M10" s="24">
        <f>IF(N10=1,"Customer PO "&amp;B10&amp;" · "&amp;C10&amp;" · case "&amp;D10&amp;CHAR(10)&amp;"Sales "&amp;DOLLAR(E10,2)&amp;" · commission "&amp;DOLLAR(F10,2)&amp;CHAR(10)&amp;IF(I10="Missing","Not on your "&amp;Setup!$B$5&amp;" commission statement.","Your statement shows commission "&amp;DOLLAR(IF(H10="",0,H10),2)&amp;" (ours "&amp;DOLLAR(F10,2)&amp;")"&amp;IF(AND(G10&lt;&gt;"",ROUND(E10-IF(G10="",0,G10),2)&lt;&gt;0),"; sales price "&amp;DOLLAR(IF(G10="",0,G10),2)&amp;" (ours "&amp;DOLLAR(E10,2)&amp;")","")&amp;".")&amp;CHAR(10)&amp;IF('Our DOs'!G2&lt;&gt;"","We sent this Delivery Order"&amp;IF('Our DOs'!I2="Yes",", with the hospital's purchase order number,","")&amp;" on "&amp;'Our DOs'!G2&amp;IF('Our DOs'!H2&lt;&gt;""," by "&amp;LOWER('Our DOs'!H2),"")&amp;". The Delivery Order is available on request.","The Delivery Order is available on request."),"")</f>
      </c>
      <c r="N10" s="25">
        <f>IF(AND(OR(I10="Missing",I10="Differs"),K10&lt;&gt;"No"),1,0)</f>
      </c>
    </row>
    <row r="11" spans="1:14" x14ac:dyDescent="0.25">
      <c r="A11" s="19">
        <f>IF('Our DOs'!A3="","",'Our DOs'!A3)</f>
      </c>
      <c r="B11" s="19">
        <f>IF(A11="","",'Our DOs'!B3)</f>
      </c>
      <c r="C11" s="19">
        <f>IF(A11="","",'Our DOs'!C3)</f>
      </c>
      <c r="D11" s="19">
        <f>IF(A11="","",'Our DOs'!D3)</f>
      </c>
      <c r="E11" s="22">
        <f>IF(A11="","",'Our DOs'!E3)</f>
      </c>
      <c r="F11" s="22">
        <f>IF(A11="","",'Our DOs'!F3)</f>
      </c>
      <c r="G11" s="22">
        <f>IF(OR(A11="",B11=""),"",IFERROR(INDEX('Their statement'!$D$2:$D$201,MATCH(B11,'Their statement'!$A$2:$A$201,0)),""))</f>
      </c>
      <c r="H11" s="22">
        <f>IF(OR(A11="",B11=""),"",IFERROR(INDEX('Their statement'!$E$2:$E$201,MATCH(B11,'Their statement'!$A$2:$A$201,0)),""))</f>
      </c>
      <c r="I11" s="19">
        <f>IF(A11="","",IF(B11="","No PO yet",IF(ISNUMBER(MATCH(B11,'Their statement'!$A$2:$A$201,0)),IF(AND(ROUND(F11-IF(H11="",0,H11),2)=0,OR(G11="",ROUND(E11-IF(G11="",0,G11),2)=0)),"Matches","Differs"),"Missing")))</f>
      </c>
      <c r="J11" s="22">
        <f>IF(OR(I11="Missing",I11="Differs"),F11-IF(H11="",0,H11),"")</f>
      </c>
      <c r="K11" s="10"/>
      <c r="L11" s="23">
        <f>IF(N11=1,SUM($N$10:N11),"")</f>
      </c>
      <c r="M11" s="24">
        <f>IF(N11=1,"Customer PO "&amp;B11&amp;" · "&amp;C11&amp;" · case "&amp;D11&amp;CHAR(10)&amp;"Sales "&amp;DOLLAR(E11,2)&amp;" · commission "&amp;DOLLAR(F11,2)&amp;CHAR(10)&amp;IF(I11="Missing","Not on your "&amp;Setup!$B$5&amp;" commission statement.","Your statement shows commission "&amp;DOLLAR(IF(H11="",0,H11),2)&amp;" (ours "&amp;DOLLAR(F11,2)&amp;")"&amp;IF(AND(G11&lt;&gt;"",ROUND(E11-IF(G11="",0,G11),2)&lt;&gt;0),"; sales price "&amp;DOLLAR(IF(G11="",0,G11),2)&amp;" (ours "&amp;DOLLAR(E11,2)&amp;")","")&amp;".")&amp;CHAR(10)&amp;IF('Our DOs'!G3&lt;&gt;"","We sent this Delivery Order"&amp;IF('Our DOs'!I3="Yes",", with the hospital's purchase order number,","")&amp;" on "&amp;'Our DOs'!G3&amp;IF('Our DOs'!H3&lt;&gt;""," by "&amp;LOWER('Our DOs'!H3),"")&amp;". The Delivery Order is available on request.","The Delivery Order is available on request."),"")</f>
      </c>
      <c r="N11" s="25">
        <f>IF(AND(OR(I11="Missing",I11="Differs"),K11&lt;&gt;"No"),1,0)</f>
      </c>
    </row>
    <row r="12" spans="1:14" x14ac:dyDescent="0.25">
      <c r="A12" s="19">
        <f>IF('Our DOs'!A4="","",'Our DOs'!A4)</f>
      </c>
      <c r="B12" s="19">
        <f>IF(A12="","",'Our DOs'!B4)</f>
      </c>
      <c r="C12" s="19">
        <f>IF(A12="","",'Our DOs'!C4)</f>
      </c>
      <c r="D12" s="19">
        <f>IF(A12="","",'Our DOs'!D4)</f>
      </c>
      <c r="E12" s="22">
        <f>IF(A12="","",'Our DOs'!E4)</f>
      </c>
      <c r="F12" s="22">
        <f>IF(A12="","",'Our DOs'!F4)</f>
      </c>
      <c r="G12" s="22">
        <f>IF(OR(A12="",B12=""),"",IFERROR(INDEX('Their statement'!$D$2:$D$201,MATCH(B12,'Their statement'!$A$2:$A$201,0)),""))</f>
      </c>
      <c r="H12" s="22">
        <f>IF(OR(A12="",B12=""),"",IFERROR(INDEX('Their statement'!$E$2:$E$201,MATCH(B12,'Their statement'!$A$2:$A$201,0)),""))</f>
      </c>
      <c r="I12" s="19">
        <f>IF(A12="","",IF(B12="","No PO yet",IF(ISNUMBER(MATCH(B12,'Their statement'!$A$2:$A$201,0)),IF(AND(ROUND(F12-IF(H12="",0,H12),2)=0,OR(G12="",ROUND(E12-IF(G12="",0,G12),2)=0)),"Matches","Differs"),"Missing")))</f>
      </c>
      <c r="J12" s="22">
        <f>IF(OR(I12="Missing",I12="Differs"),F12-IF(H12="",0,H12),"")</f>
      </c>
      <c r="K12" s="10"/>
      <c r="L12" s="23">
        <f>IF(N12=1,SUM($N$10:N12),"")</f>
      </c>
      <c r="M12" s="24">
        <f>IF(N12=1,"Customer PO "&amp;B12&amp;" · "&amp;C12&amp;" · case "&amp;D12&amp;CHAR(10)&amp;"Sales "&amp;DOLLAR(E12,2)&amp;" · commission "&amp;DOLLAR(F12,2)&amp;CHAR(10)&amp;IF(I12="Missing","Not on your "&amp;Setup!$B$5&amp;" commission statement.","Your statement shows commission "&amp;DOLLAR(IF(H12="",0,H12),2)&amp;" (ours "&amp;DOLLAR(F12,2)&amp;")"&amp;IF(AND(G12&lt;&gt;"",ROUND(E12-IF(G12="",0,G12),2)&lt;&gt;0),"; sales price "&amp;DOLLAR(IF(G12="",0,G12),2)&amp;" (ours "&amp;DOLLAR(E12,2)&amp;")","")&amp;".")&amp;CHAR(10)&amp;IF('Our DOs'!G4&lt;&gt;"","We sent this Delivery Order"&amp;IF('Our DOs'!I4="Yes",", with the hospital's purchase order number,","")&amp;" on "&amp;'Our DOs'!G4&amp;IF('Our DOs'!H4&lt;&gt;""," by "&amp;LOWER('Our DOs'!H4),"")&amp;". The Delivery Order is available on request.","The Delivery Order is available on request."),"")</f>
      </c>
      <c r="N12" s="25">
        <f>IF(AND(OR(I12="Missing",I12="Differs"),K12&lt;&gt;"No"),1,0)</f>
      </c>
    </row>
    <row r="13" spans="1:14" x14ac:dyDescent="0.25">
      <c r="A13" s="19">
        <f>IF('Our DOs'!A5="","",'Our DOs'!A5)</f>
      </c>
      <c r="B13" s="19">
        <f>IF(A13="","",'Our DOs'!B5)</f>
      </c>
      <c r="C13" s="19">
        <f>IF(A13="","",'Our DOs'!C5)</f>
      </c>
      <c r="D13" s="19">
        <f>IF(A13="","",'Our DOs'!D5)</f>
      </c>
      <c r="E13" s="22">
        <f>IF(A13="","",'Our DOs'!E5)</f>
      </c>
      <c r="F13" s="22">
        <f>IF(A13="","",'Our DOs'!F5)</f>
      </c>
      <c r="G13" s="22">
        <f>IF(OR(A13="",B13=""),"",IFERROR(INDEX('Their statement'!$D$2:$D$201,MATCH(B13,'Their statement'!$A$2:$A$201,0)),""))</f>
      </c>
      <c r="H13" s="22">
        <f>IF(OR(A13="",B13=""),"",IFERROR(INDEX('Their statement'!$E$2:$E$201,MATCH(B13,'Their statement'!$A$2:$A$201,0)),""))</f>
      </c>
      <c r="I13" s="19">
        <f>IF(A13="","",IF(B13="","No PO yet",IF(ISNUMBER(MATCH(B13,'Their statement'!$A$2:$A$201,0)),IF(AND(ROUND(F13-IF(H13="",0,H13),2)=0,OR(G13="",ROUND(E13-IF(G13="",0,G13),2)=0)),"Matches","Differs"),"Missing")))</f>
      </c>
      <c r="J13" s="22">
        <f>IF(OR(I13="Missing",I13="Differs"),F13-IF(H13="",0,H13),"")</f>
      </c>
      <c r="K13" s="10"/>
      <c r="L13" s="23">
        <f>IF(N13=1,SUM($N$10:N13),"")</f>
      </c>
      <c r="M13" s="24">
        <f>IF(N13=1,"Customer PO "&amp;B13&amp;" · "&amp;C13&amp;" · case "&amp;D13&amp;CHAR(10)&amp;"Sales "&amp;DOLLAR(E13,2)&amp;" · commission "&amp;DOLLAR(F13,2)&amp;CHAR(10)&amp;IF(I13="Missing","Not on your "&amp;Setup!$B$5&amp;" commission statement.","Your statement shows commission "&amp;DOLLAR(IF(H13="",0,H13),2)&amp;" (ours "&amp;DOLLAR(F13,2)&amp;")"&amp;IF(AND(G13&lt;&gt;"",ROUND(E13-IF(G13="",0,G13),2)&lt;&gt;0),"; sales price "&amp;DOLLAR(IF(G13="",0,G13),2)&amp;" (ours "&amp;DOLLAR(E13,2)&amp;")","")&amp;".")&amp;CHAR(10)&amp;IF('Our DOs'!G5&lt;&gt;"","We sent this Delivery Order"&amp;IF('Our DOs'!I5="Yes",", with the hospital's purchase order number,","")&amp;" on "&amp;'Our DOs'!G5&amp;IF('Our DOs'!H5&lt;&gt;""," by "&amp;LOWER('Our DOs'!H5),"")&amp;". The Delivery Order is available on request.","The Delivery Order is available on request."),"")</f>
      </c>
      <c r="N13" s="25">
        <f>IF(AND(OR(I13="Missing",I13="Differs"),K13&lt;&gt;"No"),1,0)</f>
      </c>
    </row>
    <row r="14" spans="1:14" x14ac:dyDescent="0.25">
      <c r="A14" s="19">
        <f>IF('Our DOs'!A6="","",'Our DOs'!A6)</f>
      </c>
      <c r="B14" s="19">
        <f>IF(A14="","",'Our DOs'!B6)</f>
      </c>
      <c r="C14" s="19">
        <f>IF(A14="","",'Our DOs'!C6)</f>
      </c>
      <c r="D14" s="19">
        <f>IF(A14="","",'Our DOs'!D6)</f>
      </c>
      <c r="E14" s="22">
        <f>IF(A14="","",'Our DOs'!E6)</f>
      </c>
      <c r="F14" s="22">
        <f>IF(A14="","",'Our DOs'!F6)</f>
      </c>
      <c r="G14" s="22">
        <f>IF(OR(A14="",B14=""),"",IFERROR(INDEX('Their statement'!$D$2:$D$201,MATCH(B14,'Their statement'!$A$2:$A$201,0)),""))</f>
      </c>
      <c r="H14" s="22">
        <f>IF(OR(A14="",B14=""),"",IFERROR(INDEX('Their statement'!$E$2:$E$201,MATCH(B14,'Their statement'!$A$2:$A$201,0)),""))</f>
      </c>
      <c r="I14" s="19">
        <f>IF(A14="","",IF(B14="","No PO yet",IF(ISNUMBER(MATCH(B14,'Their statement'!$A$2:$A$201,0)),IF(AND(ROUND(F14-IF(H14="",0,H14),2)=0,OR(G14="",ROUND(E14-IF(G14="",0,G14),2)=0)),"Matches","Differs"),"Missing")))</f>
      </c>
      <c r="J14" s="22">
        <f>IF(OR(I14="Missing",I14="Differs"),F14-IF(H14="",0,H14),"")</f>
      </c>
      <c r="K14" s="10"/>
      <c r="L14" s="23">
        <f>IF(N14=1,SUM($N$10:N14),"")</f>
      </c>
      <c r="M14" s="24">
        <f>IF(N14=1,"Customer PO "&amp;B14&amp;" · "&amp;C14&amp;" · case "&amp;D14&amp;CHAR(10)&amp;"Sales "&amp;DOLLAR(E14,2)&amp;" · commission "&amp;DOLLAR(F14,2)&amp;CHAR(10)&amp;IF(I14="Missing","Not on your "&amp;Setup!$B$5&amp;" commission statement.","Your statement shows commission "&amp;DOLLAR(IF(H14="",0,H14),2)&amp;" (ours "&amp;DOLLAR(F14,2)&amp;")"&amp;IF(AND(G14&lt;&gt;"",ROUND(E14-IF(G14="",0,G14),2)&lt;&gt;0),"; sales price "&amp;DOLLAR(IF(G14="",0,G14),2)&amp;" (ours "&amp;DOLLAR(E14,2)&amp;")","")&amp;".")&amp;CHAR(10)&amp;IF('Our DOs'!G6&lt;&gt;"","We sent this Delivery Order"&amp;IF('Our DOs'!I6="Yes",", with the hospital's purchase order number,","")&amp;" on "&amp;'Our DOs'!G6&amp;IF('Our DOs'!H6&lt;&gt;""," by "&amp;LOWER('Our DOs'!H6),"")&amp;". The Delivery Order is available on request.","The Delivery Order is available on request."),"")</f>
      </c>
      <c r="N14" s="25">
        <f>IF(AND(OR(I14="Missing",I14="Differs"),K14&lt;&gt;"No"),1,0)</f>
      </c>
    </row>
    <row r="15" spans="1:14" x14ac:dyDescent="0.25">
      <c r="A15" s="19">
        <f>IF('Our DOs'!A7="","",'Our DOs'!A7)</f>
      </c>
      <c r="B15" s="19">
        <f>IF(A15="","",'Our DOs'!B7)</f>
      </c>
      <c r="C15" s="19">
        <f>IF(A15="","",'Our DOs'!C7)</f>
      </c>
      <c r="D15" s="19">
        <f>IF(A15="","",'Our DOs'!D7)</f>
      </c>
      <c r="E15" s="22">
        <f>IF(A15="","",'Our DOs'!E7)</f>
      </c>
      <c r="F15" s="22">
        <f>IF(A15="","",'Our DOs'!F7)</f>
      </c>
      <c r="G15" s="22">
        <f>IF(OR(A15="",B15=""),"",IFERROR(INDEX('Their statement'!$D$2:$D$201,MATCH(B15,'Their statement'!$A$2:$A$201,0)),""))</f>
      </c>
      <c r="H15" s="22">
        <f>IF(OR(A15="",B15=""),"",IFERROR(INDEX('Their statement'!$E$2:$E$201,MATCH(B15,'Their statement'!$A$2:$A$201,0)),""))</f>
      </c>
      <c r="I15" s="19">
        <f>IF(A15="","",IF(B15="","No PO yet",IF(ISNUMBER(MATCH(B15,'Their statement'!$A$2:$A$201,0)),IF(AND(ROUND(F15-IF(H15="",0,H15),2)=0,OR(G15="",ROUND(E15-IF(G15="",0,G15),2)=0)),"Matches","Differs"),"Missing")))</f>
      </c>
      <c r="J15" s="22">
        <f>IF(OR(I15="Missing",I15="Differs"),F15-IF(H15="",0,H15),"")</f>
      </c>
      <c r="K15" s="10"/>
      <c r="L15" s="23">
        <f>IF(N15=1,SUM($N$10:N15),"")</f>
      </c>
      <c r="M15" s="24">
        <f>IF(N15=1,"Customer PO "&amp;B15&amp;" · "&amp;C15&amp;" · case "&amp;D15&amp;CHAR(10)&amp;"Sales "&amp;DOLLAR(E15,2)&amp;" · commission "&amp;DOLLAR(F15,2)&amp;CHAR(10)&amp;IF(I15="Missing","Not on your "&amp;Setup!$B$5&amp;" commission statement.","Your statement shows commission "&amp;DOLLAR(IF(H15="",0,H15),2)&amp;" (ours "&amp;DOLLAR(F15,2)&amp;")"&amp;IF(AND(G15&lt;&gt;"",ROUND(E15-IF(G15="",0,G15),2)&lt;&gt;0),"; sales price "&amp;DOLLAR(IF(G15="",0,G15),2)&amp;" (ours "&amp;DOLLAR(E15,2)&amp;")","")&amp;".")&amp;CHAR(10)&amp;IF('Our DOs'!G7&lt;&gt;"","We sent this Delivery Order"&amp;IF('Our DOs'!I7="Yes",", with the hospital's purchase order number,","")&amp;" on "&amp;'Our DOs'!G7&amp;IF('Our DOs'!H7&lt;&gt;""," by "&amp;LOWER('Our DOs'!H7),"")&amp;". The Delivery Order is available on request.","The Delivery Order is available on request."),"")</f>
      </c>
      <c r="N15" s="25">
        <f>IF(AND(OR(I15="Missing",I15="Differs"),K15&lt;&gt;"No"),1,0)</f>
      </c>
    </row>
    <row r="16" spans="1:14" x14ac:dyDescent="0.25">
      <c r="A16" s="19">
        <f>IF('Our DOs'!A8="","",'Our DOs'!A8)</f>
      </c>
      <c r="B16" s="19">
        <f>IF(A16="","",'Our DOs'!B8)</f>
      </c>
      <c r="C16" s="19">
        <f>IF(A16="","",'Our DOs'!C8)</f>
      </c>
      <c r="D16" s="19">
        <f>IF(A16="","",'Our DOs'!D8)</f>
      </c>
      <c r="E16" s="22">
        <f>IF(A16="","",'Our DOs'!E8)</f>
      </c>
      <c r="F16" s="22">
        <f>IF(A16="","",'Our DOs'!F8)</f>
      </c>
      <c r="G16" s="22">
        <f>IF(OR(A16="",B16=""),"",IFERROR(INDEX('Their statement'!$D$2:$D$201,MATCH(B16,'Their statement'!$A$2:$A$201,0)),""))</f>
      </c>
      <c r="H16" s="22">
        <f>IF(OR(A16="",B16=""),"",IFERROR(INDEX('Their statement'!$E$2:$E$201,MATCH(B16,'Their statement'!$A$2:$A$201,0)),""))</f>
      </c>
      <c r="I16" s="19">
        <f>IF(A16="","",IF(B16="","No PO yet",IF(ISNUMBER(MATCH(B16,'Their statement'!$A$2:$A$201,0)),IF(AND(ROUND(F16-IF(H16="",0,H16),2)=0,OR(G16="",ROUND(E16-IF(G16="",0,G16),2)=0)),"Matches","Differs"),"Missing")))</f>
      </c>
      <c r="J16" s="22">
        <f>IF(OR(I16="Missing",I16="Differs"),F16-IF(H16="",0,H16),"")</f>
      </c>
      <c r="K16" s="10"/>
      <c r="L16" s="23">
        <f>IF(N16=1,SUM($N$10:N16),"")</f>
      </c>
      <c r="M16" s="24">
        <f>IF(N16=1,"Customer PO "&amp;B16&amp;" · "&amp;C16&amp;" · case "&amp;D16&amp;CHAR(10)&amp;"Sales "&amp;DOLLAR(E16,2)&amp;" · commission "&amp;DOLLAR(F16,2)&amp;CHAR(10)&amp;IF(I16="Missing","Not on your "&amp;Setup!$B$5&amp;" commission statement.","Your statement shows commission "&amp;DOLLAR(IF(H16="",0,H16),2)&amp;" (ours "&amp;DOLLAR(F16,2)&amp;")"&amp;IF(AND(G16&lt;&gt;"",ROUND(E16-IF(G16="",0,G16),2)&lt;&gt;0),"; sales price "&amp;DOLLAR(IF(G16="",0,G16),2)&amp;" (ours "&amp;DOLLAR(E16,2)&amp;")","")&amp;".")&amp;CHAR(10)&amp;IF('Our DOs'!G8&lt;&gt;"","We sent this Delivery Order"&amp;IF('Our DOs'!I8="Yes",", with the hospital's purchase order number,","")&amp;" on "&amp;'Our DOs'!G8&amp;IF('Our DOs'!H8&lt;&gt;""," by "&amp;LOWER('Our DOs'!H8),"")&amp;". The Delivery Order is available on request.","The Delivery Order is available on request."),"")</f>
      </c>
      <c r="N16" s="25">
        <f>IF(AND(OR(I16="Missing",I16="Differs"),K16&lt;&gt;"No"),1,0)</f>
      </c>
    </row>
    <row r="17" spans="1:14" x14ac:dyDescent="0.25">
      <c r="A17" s="19">
        <f>IF('Our DOs'!A9="","",'Our DOs'!A9)</f>
      </c>
      <c r="B17" s="19">
        <f>IF(A17="","",'Our DOs'!B9)</f>
      </c>
      <c r="C17" s="19">
        <f>IF(A17="","",'Our DOs'!C9)</f>
      </c>
      <c r="D17" s="19">
        <f>IF(A17="","",'Our DOs'!D9)</f>
      </c>
      <c r="E17" s="22">
        <f>IF(A17="","",'Our DOs'!E9)</f>
      </c>
      <c r="F17" s="22">
        <f>IF(A17="","",'Our DOs'!F9)</f>
      </c>
      <c r="G17" s="22">
        <f>IF(OR(A17="",B17=""),"",IFERROR(INDEX('Their statement'!$D$2:$D$201,MATCH(B17,'Their statement'!$A$2:$A$201,0)),""))</f>
      </c>
      <c r="H17" s="22">
        <f>IF(OR(A17="",B17=""),"",IFERROR(INDEX('Their statement'!$E$2:$E$201,MATCH(B17,'Their statement'!$A$2:$A$201,0)),""))</f>
      </c>
      <c r="I17" s="19">
        <f>IF(A17="","",IF(B17="","No PO yet",IF(ISNUMBER(MATCH(B17,'Their statement'!$A$2:$A$201,0)),IF(AND(ROUND(F17-IF(H17="",0,H17),2)=0,OR(G17="",ROUND(E17-IF(G17="",0,G17),2)=0)),"Matches","Differs"),"Missing")))</f>
      </c>
      <c r="J17" s="22">
        <f>IF(OR(I17="Missing",I17="Differs"),F17-IF(H17="",0,H17),"")</f>
      </c>
      <c r="K17" s="10"/>
      <c r="L17" s="23">
        <f>IF(N17=1,SUM($N$10:N17),"")</f>
      </c>
      <c r="M17" s="24">
        <f>IF(N17=1,"Customer PO "&amp;B17&amp;" · "&amp;C17&amp;" · case "&amp;D17&amp;CHAR(10)&amp;"Sales "&amp;DOLLAR(E17,2)&amp;" · commission "&amp;DOLLAR(F17,2)&amp;CHAR(10)&amp;IF(I17="Missing","Not on your "&amp;Setup!$B$5&amp;" commission statement.","Your statement shows commission "&amp;DOLLAR(IF(H17="",0,H17),2)&amp;" (ours "&amp;DOLLAR(F17,2)&amp;")"&amp;IF(AND(G17&lt;&gt;"",ROUND(E17-IF(G17="",0,G17),2)&lt;&gt;0),"; sales price "&amp;DOLLAR(IF(G17="",0,G17),2)&amp;" (ours "&amp;DOLLAR(E17,2)&amp;")","")&amp;".")&amp;CHAR(10)&amp;IF('Our DOs'!G9&lt;&gt;"","We sent this Delivery Order"&amp;IF('Our DOs'!I9="Yes",", with the hospital's purchase order number,","")&amp;" on "&amp;'Our DOs'!G9&amp;IF('Our DOs'!H9&lt;&gt;""," by "&amp;LOWER('Our DOs'!H9),"")&amp;". The Delivery Order is available on request.","The Delivery Order is available on request."),"")</f>
      </c>
      <c r="N17" s="25">
        <f>IF(AND(OR(I17="Missing",I17="Differs"),K17&lt;&gt;"No"),1,0)</f>
      </c>
    </row>
    <row r="18" spans="1:14" x14ac:dyDescent="0.25">
      <c r="A18" s="19">
        <f>IF('Our DOs'!A10="","",'Our DOs'!A10)</f>
      </c>
      <c r="B18" s="19">
        <f>IF(A18="","",'Our DOs'!B10)</f>
      </c>
      <c r="C18" s="19">
        <f>IF(A18="","",'Our DOs'!C10)</f>
      </c>
      <c r="D18" s="19">
        <f>IF(A18="","",'Our DOs'!D10)</f>
      </c>
      <c r="E18" s="22">
        <f>IF(A18="","",'Our DOs'!E10)</f>
      </c>
      <c r="F18" s="22">
        <f>IF(A18="","",'Our DOs'!F10)</f>
      </c>
      <c r="G18" s="22">
        <f>IF(OR(A18="",B18=""),"",IFERROR(INDEX('Their statement'!$D$2:$D$201,MATCH(B18,'Their statement'!$A$2:$A$201,0)),""))</f>
      </c>
      <c r="H18" s="22">
        <f>IF(OR(A18="",B18=""),"",IFERROR(INDEX('Their statement'!$E$2:$E$201,MATCH(B18,'Their statement'!$A$2:$A$201,0)),""))</f>
      </c>
      <c r="I18" s="19">
        <f>IF(A18="","",IF(B18="","No PO yet",IF(ISNUMBER(MATCH(B18,'Their statement'!$A$2:$A$201,0)),IF(AND(ROUND(F18-IF(H18="",0,H18),2)=0,OR(G18="",ROUND(E18-IF(G18="",0,G18),2)=0)),"Matches","Differs"),"Missing")))</f>
      </c>
      <c r="J18" s="22">
        <f>IF(OR(I18="Missing",I18="Differs"),F18-IF(H18="",0,H18),"")</f>
      </c>
      <c r="K18" s="10"/>
      <c r="L18" s="23">
        <f>IF(N18=1,SUM($N$10:N18),"")</f>
      </c>
      <c r="M18" s="24">
        <f>IF(N18=1,"Customer PO "&amp;B18&amp;" · "&amp;C18&amp;" · case "&amp;D18&amp;CHAR(10)&amp;"Sales "&amp;DOLLAR(E18,2)&amp;" · commission "&amp;DOLLAR(F18,2)&amp;CHAR(10)&amp;IF(I18="Missing","Not on your "&amp;Setup!$B$5&amp;" commission statement.","Your statement shows commission "&amp;DOLLAR(IF(H18="",0,H18),2)&amp;" (ours "&amp;DOLLAR(F18,2)&amp;")"&amp;IF(AND(G18&lt;&gt;"",ROUND(E18-IF(G18="",0,G18),2)&lt;&gt;0),"; sales price "&amp;DOLLAR(IF(G18="",0,G18),2)&amp;" (ours "&amp;DOLLAR(E18,2)&amp;")","")&amp;".")&amp;CHAR(10)&amp;IF('Our DOs'!G10&lt;&gt;"","We sent this Delivery Order"&amp;IF('Our DOs'!I10="Yes",", with the hospital's purchase order number,","")&amp;" on "&amp;'Our DOs'!G10&amp;IF('Our DOs'!H10&lt;&gt;""," by "&amp;LOWER('Our DOs'!H10),"")&amp;". The Delivery Order is available on request.","The Delivery Order is available on request."),"")</f>
      </c>
      <c r="N18" s="25">
        <f>IF(AND(OR(I18="Missing",I18="Differs"),K18&lt;&gt;"No"),1,0)</f>
      </c>
    </row>
    <row r="19" spans="1:14" x14ac:dyDescent="0.25">
      <c r="A19" s="19">
        <f>IF('Our DOs'!A11="","",'Our DOs'!A11)</f>
      </c>
      <c r="B19" s="19">
        <f>IF(A19="","",'Our DOs'!B11)</f>
      </c>
      <c r="C19" s="19">
        <f>IF(A19="","",'Our DOs'!C11)</f>
      </c>
      <c r="D19" s="19">
        <f>IF(A19="","",'Our DOs'!D11)</f>
      </c>
      <c r="E19" s="22">
        <f>IF(A19="","",'Our DOs'!E11)</f>
      </c>
      <c r="F19" s="22">
        <f>IF(A19="","",'Our DOs'!F11)</f>
      </c>
      <c r="G19" s="22">
        <f>IF(OR(A19="",B19=""),"",IFERROR(INDEX('Their statement'!$D$2:$D$201,MATCH(B19,'Their statement'!$A$2:$A$201,0)),""))</f>
      </c>
      <c r="H19" s="22">
        <f>IF(OR(A19="",B19=""),"",IFERROR(INDEX('Their statement'!$E$2:$E$201,MATCH(B19,'Their statement'!$A$2:$A$201,0)),""))</f>
      </c>
      <c r="I19" s="19">
        <f>IF(A19="","",IF(B19="","No PO yet",IF(ISNUMBER(MATCH(B19,'Their statement'!$A$2:$A$201,0)),IF(AND(ROUND(F19-IF(H19="",0,H19),2)=0,OR(G19="",ROUND(E19-IF(G19="",0,G19),2)=0)),"Matches","Differs"),"Missing")))</f>
      </c>
      <c r="J19" s="22">
        <f>IF(OR(I19="Missing",I19="Differs"),F19-IF(H19="",0,H19),"")</f>
      </c>
      <c r="K19" s="10"/>
      <c r="L19" s="23">
        <f>IF(N19=1,SUM($N$10:N19),"")</f>
      </c>
      <c r="M19" s="24">
        <f>IF(N19=1,"Customer PO "&amp;B19&amp;" · "&amp;C19&amp;" · case "&amp;D19&amp;CHAR(10)&amp;"Sales "&amp;DOLLAR(E19,2)&amp;" · commission "&amp;DOLLAR(F19,2)&amp;CHAR(10)&amp;IF(I19="Missing","Not on your "&amp;Setup!$B$5&amp;" commission statement.","Your statement shows commission "&amp;DOLLAR(IF(H19="",0,H19),2)&amp;" (ours "&amp;DOLLAR(F19,2)&amp;")"&amp;IF(AND(G19&lt;&gt;"",ROUND(E19-IF(G19="",0,G19),2)&lt;&gt;0),"; sales price "&amp;DOLLAR(IF(G19="",0,G19),2)&amp;" (ours "&amp;DOLLAR(E19,2)&amp;")","")&amp;".")&amp;CHAR(10)&amp;IF('Our DOs'!G11&lt;&gt;"","We sent this Delivery Order"&amp;IF('Our DOs'!I11="Yes",", with the hospital's purchase order number,","")&amp;" on "&amp;'Our DOs'!G11&amp;IF('Our DOs'!H11&lt;&gt;""," by "&amp;LOWER('Our DOs'!H11),"")&amp;". The Delivery Order is available on request.","The Delivery Order is available on request."),"")</f>
      </c>
      <c r="N19" s="25">
        <f>IF(AND(OR(I19="Missing",I19="Differs"),K19&lt;&gt;"No"),1,0)</f>
      </c>
    </row>
    <row r="20" spans="1:14" x14ac:dyDescent="0.25">
      <c r="A20" s="19">
        <f>IF('Our DOs'!A12="","",'Our DOs'!A12)</f>
      </c>
      <c r="B20" s="19">
        <f>IF(A20="","",'Our DOs'!B12)</f>
      </c>
      <c r="C20" s="19">
        <f>IF(A20="","",'Our DOs'!C12)</f>
      </c>
      <c r="D20" s="19">
        <f>IF(A20="","",'Our DOs'!D12)</f>
      </c>
      <c r="E20" s="22">
        <f>IF(A20="","",'Our DOs'!E12)</f>
      </c>
      <c r="F20" s="22">
        <f>IF(A20="","",'Our DOs'!F12)</f>
      </c>
      <c r="G20" s="22">
        <f>IF(OR(A20="",B20=""),"",IFERROR(INDEX('Their statement'!$D$2:$D$201,MATCH(B20,'Their statement'!$A$2:$A$201,0)),""))</f>
      </c>
      <c r="H20" s="22">
        <f>IF(OR(A20="",B20=""),"",IFERROR(INDEX('Their statement'!$E$2:$E$201,MATCH(B20,'Their statement'!$A$2:$A$201,0)),""))</f>
      </c>
      <c r="I20" s="19">
        <f>IF(A20="","",IF(B20="","No PO yet",IF(ISNUMBER(MATCH(B20,'Their statement'!$A$2:$A$201,0)),IF(AND(ROUND(F20-IF(H20="",0,H20),2)=0,OR(G20="",ROUND(E20-IF(G20="",0,G20),2)=0)),"Matches","Differs"),"Missing")))</f>
      </c>
      <c r="J20" s="22">
        <f>IF(OR(I20="Missing",I20="Differs"),F20-IF(H20="",0,H20),"")</f>
      </c>
      <c r="K20" s="10"/>
      <c r="L20" s="23">
        <f>IF(N20=1,SUM($N$10:N20),"")</f>
      </c>
      <c r="M20" s="24">
        <f>IF(N20=1,"Customer PO "&amp;B20&amp;" · "&amp;C20&amp;" · case "&amp;D20&amp;CHAR(10)&amp;"Sales "&amp;DOLLAR(E20,2)&amp;" · commission "&amp;DOLLAR(F20,2)&amp;CHAR(10)&amp;IF(I20="Missing","Not on your "&amp;Setup!$B$5&amp;" commission statement.","Your statement shows commission "&amp;DOLLAR(IF(H20="",0,H20),2)&amp;" (ours "&amp;DOLLAR(F20,2)&amp;")"&amp;IF(AND(G20&lt;&gt;"",ROUND(E20-IF(G20="",0,G20),2)&lt;&gt;0),"; sales price "&amp;DOLLAR(IF(G20="",0,G20),2)&amp;" (ours "&amp;DOLLAR(E20,2)&amp;")","")&amp;".")&amp;CHAR(10)&amp;IF('Our DOs'!G12&lt;&gt;"","We sent this Delivery Order"&amp;IF('Our DOs'!I12="Yes",", with the hospital's purchase order number,","")&amp;" on "&amp;'Our DOs'!G12&amp;IF('Our DOs'!H12&lt;&gt;""," by "&amp;LOWER('Our DOs'!H12),"")&amp;". The Delivery Order is available on request.","The Delivery Order is available on request."),"")</f>
      </c>
      <c r="N20" s="25">
        <f>IF(AND(OR(I20="Missing",I20="Differs"),K20&lt;&gt;"No"),1,0)</f>
      </c>
    </row>
    <row r="21" spans="1:14" x14ac:dyDescent="0.25">
      <c r="A21" s="19">
        <f>IF('Our DOs'!A13="","",'Our DOs'!A13)</f>
      </c>
      <c r="B21" s="19">
        <f>IF(A21="","",'Our DOs'!B13)</f>
      </c>
      <c r="C21" s="19">
        <f>IF(A21="","",'Our DOs'!C13)</f>
      </c>
      <c r="D21" s="19">
        <f>IF(A21="","",'Our DOs'!D13)</f>
      </c>
      <c r="E21" s="22">
        <f>IF(A21="","",'Our DOs'!E13)</f>
      </c>
      <c r="F21" s="22">
        <f>IF(A21="","",'Our DOs'!F13)</f>
      </c>
      <c r="G21" s="22">
        <f>IF(OR(A21="",B21=""),"",IFERROR(INDEX('Their statement'!$D$2:$D$201,MATCH(B21,'Their statement'!$A$2:$A$201,0)),""))</f>
      </c>
      <c r="H21" s="22">
        <f>IF(OR(A21="",B21=""),"",IFERROR(INDEX('Their statement'!$E$2:$E$201,MATCH(B21,'Their statement'!$A$2:$A$201,0)),""))</f>
      </c>
      <c r="I21" s="19">
        <f>IF(A21="","",IF(B21="","No PO yet",IF(ISNUMBER(MATCH(B21,'Their statement'!$A$2:$A$201,0)),IF(AND(ROUND(F21-IF(H21="",0,H21),2)=0,OR(G21="",ROUND(E21-IF(G21="",0,G21),2)=0)),"Matches","Differs"),"Missing")))</f>
      </c>
      <c r="J21" s="22">
        <f>IF(OR(I21="Missing",I21="Differs"),F21-IF(H21="",0,H21),"")</f>
      </c>
      <c r="K21" s="10"/>
      <c r="L21" s="23">
        <f>IF(N21=1,SUM($N$10:N21),"")</f>
      </c>
      <c r="M21" s="24">
        <f>IF(N21=1,"Customer PO "&amp;B21&amp;" · "&amp;C21&amp;" · case "&amp;D21&amp;CHAR(10)&amp;"Sales "&amp;DOLLAR(E21,2)&amp;" · commission "&amp;DOLLAR(F21,2)&amp;CHAR(10)&amp;IF(I21="Missing","Not on your "&amp;Setup!$B$5&amp;" commission statement.","Your statement shows commission "&amp;DOLLAR(IF(H21="",0,H21),2)&amp;" (ours "&amp;DOLLAR(F21,2)&amp;")"&amp;IF(AND(G21&lt;&gt;"",ROUND(E21-IF(G21="",0,G21),2)&lt;&gt;0),"; sales price "&amp;DOLLAR(IF(G21="",0,G21),2)&amp;" (ours "&amp;DOLLAR(E21,2)&amp;")","")&amp;".")&amp;CHAR(10)&amp;IF('Our DOs'!G13&lt;&gt;"","We sent this Delivery Order"&amp;IF('Our DOs'!I13="Yes",", with the hospital's purchase order number,","")&amp;" on "&amp;'Our DOs'!G13&amp;IF('Our DOs'!H13&lt;&gt;""," by "&amp;LOWER('Our DOs'!H13),"")&amp;". The Delivery Order is available on request.","The Delivery Order is available on request."),"")</f>
      </c>
      <c r="N21" s="25">
        <f>IF(AND(OR(I21="Missing",I21="Differs"),K21&lt;&gt;"No"),1,0)</f>
      </c>
    </row>
    <row r="22" spans="1:14" x14ac:dyDescent="0.25">
      <c r="A22" s="19">
        <f>IF('Our DOs'!A14="","",'Our DOs'!A14)</f>
      </c>
      <c r="B22" s="19">
        <f>IF(A22="","",'Our DOs'!B14)</f>
      </c>
      <c r="C22" s="19">
        <f>IF(A22="","",'Our DOs'!C14)</f>
      </c>
      <c r="D22" s="19">
        <f>IF(A22="","",'Our DOs'!D14)</f>
      </c>
      <c r="E22" s="22">
        <f>IF(A22="","",'Our DOs'!E14)</f>
      </c>
      <c r="F22" s="22">
        <f>IF(A22="","",'Our DOs'!F14)</f>
      </c>
      <c r="G22" s="22">
        <f>IF(OR(A22="",B22=""),"",IFERROR(INDEX('Their statement'!$D$2:$D$201,MATCH(B22,'Their statement'!$A$2:$A$201,0)),""))</f>
      </c>
      <c r="H22" s="22">
        <f>IF(OR(A22="",B22=""),"",IFERROR(INDEX('Their statement'!$E$2:$E$201,MATCH(B22,'Their statement'!$A$2:$A$201,0)),""))</f>
      </c>
      <c r="I22" s="19">
        <f>IF(A22="","",IF(B22="","No PO yet",IF(ISNUMBER(MATCH(B22,'Their statement'!$A$2:$A$201,0)),IF(AND(ROUND(F22-IF(H22="",0,H22),2)=0,OR(G22="",ROUND(E22-IF(G22="",0,G22),2)=0)),"Matches","Differs"),"Missing")))</f>
      </c>
      <c r="J22" s="22">
        <f>IF(OR(I22="Missing",I22="Differs"),F22-IF(H22="",0,H22),"")</f>
      </c>
      <c r="K22" s="10"/>
      <c r="L22" s="23">
        <f>IF(N22=1,SUM($N$10:N22),"")</f>
      </c>
      <c r="M22" s="24">
        <f>IF(N22=1,"Customer PO "&amp;B22&amp;" · "&amp;C22&amp;" · case "&amp;D22&amp;CHAR(10)&amp;"Sales "&amp;DOLLAR(E22,2)&amp;" · commission "&amp;DOLLAR(F22,2)&amp;CHAR(10)&amp;IF(I22="Missing","Not on your "&amp;Setup!$B$5&amp;" commission statement.","Your statement shows commission "&amp;DOLLAR(IF(H22="",0,H22),2)&amp;" (ours "&amp;DOLLAR(F22,2)&amp;")"&amp;IF(AND(G22&lt;&gt;"",ROUND(E22-IF(G22="",0,G22),2)&lt;&gt;0),"; sales price "&amp;DOLLAR(IF(G22="",0,G22),2)&amp;" (ours "&amp;DOLLAR(E22,2)&amp;")","")&amp;".")&amp;CHAR(10)&amp;IF('Our DOs'!G14&lt;&gt;"","We sent this Delivery Order"&amp;IF('Our DOs'!I14="Yes",", with the hospital's purchase order number,","")&amp;" on "&amp;'Our DOs'!G14&amp;IF('Our DOs'!H14&lt;&gt;""," by "&amp;LOWER('Our DOs'!H14),"")&amp;". The Delivery Order is available on request.","The Delivery Order is available on request."),"")</f>
      </c>
      <c r="N22" s="25">
        <f>IF(AND(OR(I22="Missing",I22="Differs"),K22&lt;&gt;"No"),1,0)</f>
      </c>
    </row>
    <row r="23" spans="1:14" x14ac:dyDescent="0.25">
      <c r="A23" s="19">
        <f>IF('Our DOs'!A15="","",'Our DOs'!A15)</f>
      </c>
      <c r="B23" s="19">
        <f>IF(A23="","",'Our DOs'!B15)</f>
      </c>
      <c r="C23" s="19">
        <f>IF(A23="","",'Our DOs'!C15)</f>
      </c>
      <c r="D23" s="19">
        <f>IF(A23="","",'Our DOs'!D15)</f>
      </c>
      <c r="E23" s="22">
        <f>IF(A23="","",'Our DOs'!E15)</f>
      </c>
      <c r="F23" s="22">
        <f>IF(A23="","",'Our DOs'!F15)</f>
      </c>
      <c r="G23" s="22">
        <f>IF(OR(A23="",B23=""),"",IFERROR(INDEX('Their statement'!$D$2:$D$201,MATCH(B23,'Their statement'!$A$2:$A$201,0)),""))</f>
      </c>
      <c r="H23" s="22">
        <f>IF(OR(A23="",B23=""),"",IFERROR(INDEX('Their statement'!$E$2:$E$201,MATCH(B23,'Their statement'!$A$2:$A$201,0)),""))</f>
      </c>
      <c r="I23" s="19">
        <f>IF(A23="","",IF(B23="","No PO yet",IF(ISNUMBER(MATCH(B23,'Their statement'!$A$2:$A$201,0)),IF(AND(ROUND(F23-IF(H23="",0,H23),2)=0,OR(G23="",ROUND(E23-IF(G23="",0,G23),2)=0)),"Matches","Differs"),"Missing")))</f>
      </c>
      <c r="J23" s="22">
        <f>IF(OR(I23="Missing",I23="Differs"),F23-IF(H23="",0,H23),"")</f>
      </c>
      <c r="K23" s="10"/>
      <c r="L23" s="23">
        <f>IF(N23=1,SUM($N$10:N23),"")</f>
      </c>
      <c r="M23" s="24">
        <f>IF(N23=1,"Customer PO "&amp;B23&amp;" · "&amp;C23&amp;" · case "&amp;D23&amp;CHAR(10)&amp;"Sales "&amp;DOLLAR(E23,2)&amp;" · commission "&amp;DOLLAR(F23,2)&amp;CHAR(10)&amp;IF(I23="Missing","Not on your "&amp;Setup!$B$5&amp;" commission statement.","Your statement shows commission "&amp;DOLLAR(IF(H23="",0,H23),2)&amp;" (ours "&amp;DOLLAR(F23,2)&amp;")"&amp;IF(AND(G23&lt;&gt;"",ROUND(E23-IF(G23="",0,G23),2)&lt;&gt;0),"; sales price "&amp;DOLLAR(IF(G23="",0,G23),2)&amp;" (ours "&amp;DOLLAR(E23,2)&amp;")","")&amp;".")&amp;CHAR(10)&amp;IF('Our DOs'!G15&lt;&gt;"","We sent this Delivery Order"&amp;IF('Our DOs'!I15="Yes",", with the hospital's purchase order number,","")&amp;" on "&amp;'Our DOs'!G15&amp;IF('Our DOs'!H15&lt;&gt;""," by "&amp;LOWER('Our DOs'!H15),"")&amp;". The Delivery Order is available on request.","The Delivery Order is available on request."),"")</f>
      </c>
      <c r="N23" s="25">
        <f>IF(AND(OR(I23="Missing",I23="Differs"),K23&lt;&gt;"No"),1,0)</f>
      </c>
    </row>
    <row r="24" spans="1:14" x14ac:dyDescent="0.25">
      <c r="A24" s="19">
        <f>IF('Our DOs'!A16="","",'Our DOs'!A16)</f>
      </c>
      <c r="B24" s="19">
        <f>IF(A24="","",'Our DOs'!B16)</f>
      </c>
      <c r="C24" s="19">
        <f>IF(A24="","",'Our DOs'!C16)</f>
      </c>
      <c r="D24" s="19">
        <f>IF(A24="","",'Our DOs'!D16)</f>
      </c>
      <c r="E24" s="22">
        <f>IF(A24="","",'Our DOs'!E16)</f>
      </c>
      <c r="F24" s="22">
        <f>IF(A24="","",'Our DOs'!F16)</f>
      </c>
      <c r="G24" s="22">
        <f>IF(OR(A24="",B24=""),"",IFERROR(INDEX('Their statement'!$D$2:$D$201,MATCH(B24,'Their statement'!$A$2:$A$201,0)),""))</f>
      </c>
      <c r="H24" s="22">
        <f>IF(OR(A24="",B24=""),"",IFERROR(INDEX('Their statement'!$E$2:$E$201,MATCH(B24,'Their statement'!$A$2:$A$201,0)),""))</f>
      </c>
      <c r="I24" s="19">
        <f>IF(A24="","",IF(B24="","No PO yet",IF(ISNUMBER(MATCH(B24,'Their statement'!$A$2:$A$201,0)),IF(AND(ROUND(F24-IF(H24="",0,H24),2)=0,OR(G24="",ROUND(E24-IF(G24="",0,G24),2)=0)),"Matches","Differs"),"Missing")))</f>
      </c>
      <c r="J24" s="22">
        <f>IF(OR(I24="Missing",I24="Differs"),F24-IF(H24="",0,H24),"")</f>
      </c>
      <c r="K24" s="10"/>
      <c r="L24" s="23">
        <f>IF(N24=1,SUM($N$10:N24),"")</f>
      </c>
      <c r="M24" s="24">
        <f>IF(N24=1,"Customer PO "&amp;B24&amp;" · "&amp;C24&amp;" · case "&amp;D24&amp;CHAR(10)&amp;"Sales "&amp;DOLLAR(E24,2)&amp;" · commission "&amp;DOLLAR(F24,2)&amp;CHAR(10)&amp;IF(I24="Missing","Not on your "&amp;Setup!$B$5&amp;" commission statement.","Your statement shows commission "&amp;DOLLAR(IF(H24="",0,H24),2)&amp;" (ours "&amp;DOLLAR(F24,2)&amp;")"&amp;IF(AND(G24&lt;&gt;"",ROUND(E24-IF(G24="",0,G24),2)&lt;&gt;0),"; sales price "&amp;DOLLAR(IF(G24="",0,G24),2)&amp;" (ours "&amp;DOLLAR(E24,2)&amp;")","")&amp;".")&amp;CHAR(10)&amp;IF('Our DOs'!G16&lt;&gt;"","We sent this Delivery Order"&amp;IF('Our DOs'!I16="Yes",", with the hospital's purchase order number,","")&amp;" on "&amp;'Our DOs'!G16&amp;IF('Our DOs'!H16&lt;&gt;""," by "&amp;LOWER('Our DOs'!H16),"")&amp;". The Delivery Order is available on request.","The Delivery Order is available on request."),"")</f>
      </c>
      <c r="N24" s="25">
        <f>IF(AND(OR(I24="Missing",I24="Differs"),K24&lt;&gt;"No"),1,0)</f>
      </c>
    </row>
    <row r="25" spans="1:14" x14ac:dyDescent="0.25">
      <c r="A25" s="19">
        <f>IF('Our DOs'!A17="","",'Our DOs'!A17)</f>
      </c>
      <c r="B25" s="19">
        <f>IF(A25="","",'Our DOs'!B17)</f>
      </c>
      <c r="C25" s="19">
        <f>IF(A25="","",'Our DOs'!C17)</f>
      </c>
      <c r="D25" s="19">
        <f>IF(A25="","",'Our DOs'!D17)</f>
      </c>
      <c r="E25" s="22">
        <f>IF(A25="","",'Our DOs'!E17)</f>
      </c>
      <c r="F25" s="22">
        <f>IF(A25="","",'Our DOs'!F17)</f>
      </c>
      <c r="G25" s="22">
        <f>IF(OR(A25="",B25=""),"",IFERROR(INDEX('Their statement'!$D$2:$D$201,MATCH(B25,'Their statement'!$A$2:$A$201,0)),""))</f>
      </c>
      <c r="H25" s="22">
        <f>IF(OR(A25="",B25=""),"",IFERROR(INDEX('Their statement'!$E$2:$E$201,MATCH(B25,'Their statement'!$A$2:$A$201,0)),""))</f>
      </c>
      <c r="I25" s="19">
        <f>IF(A25="","",IF(B25="","No PO yet",IF(ISNUMBER(MATCH(B25,'Their statement'!$A$2:$A$201,0)),IF(AND(ROUND(F25-IF(H25="",0,H25),2)=0,OR(G25="",ROUND(E25-IF(G25="",0,G25),2)=0)),"Matches","Differs"),"Missing")))</f>
      </c>
      <c r="J25" s="22">
        <f>IF(OR(I25="Missing",I25="Differs"),F25-IF(H25="",0,H25),"")</f>
      </c>
      <c r="K25" s="10"/>
      <c r="L25" s="23">
        <f>IF(N25=1,SUM($N$10:N25),"")</f>
      </c>
      <c r="M25" s="24">
        <f>IF(N25=1,"Customer PO "&amp;B25&amp;" · "&amp;C25&amp;" · case "&amp;D25&amp;CHAR(10)&amp;"Sales "&amp;DOLLAR(E25,2)&amp;" · commission "&amp;DOLLAR(F25,2)&amp;CHAR(10)&amp;IF(I25="Missing","Not on your "&amp;Setup!$B$5&amp;" commission statement.","Your statement shows commission "&amp;DOLLAR(IF(H25="",0,H25),2)&amp;" (ours "&amp;DOLLAR(F25,2)&amp;")"&amp;IF(AND(G25&lt;&gt;"",ROUND(E25-IF(G25="",0,G25),2)&lt;&gt;0),"; sales price "&amp;DOLLAR(IF(G25="",0,G25),2)&amp;" (ours "&amp;DOLLAR(E25,2)&amp;")","")&amp;".")&amp;CHAR(10)&amp;IF('Our DOs'!G17&lt;&gt;"","We sent this Delivery Order"&amp;IF('Our DOs'!I17="Yes",", with the hospital's purchase order number,","")&amp;" on "&amp;'Our DOs'!G17&amp;IF('Our DOs'!H17&lt;&gt;""," by "&amp;LOWER('Our DOs'!H17),"")&amp;". The Delivery Order is available on request.","The Delivery Order is available on request."),"")</f>
      </c>
      <c r="N25" s="25">
        <f>IF(AND(OR(I25="Missing",I25="Differs"),K25&lt;&gt;"No"),1,0)</f>
      </c>
    </row>
    <row r="26" spans="1:14" x14ac:dyDescent="0.25">
      <c r="A26" s="19">
        <f>IF('Our DOs'!A18="","",'Our DOs'!A18)</f>
      </c>
      <c r="B26" s="19">
        <f>IF(A26="","",'Our DOs'!B18)</f>
      </c>
      <c r="C26" s="19">
        <f>IF(A26="","",'Our DOs'!C18)</f>
      </c>
      <c r="D26" s="19">
        <f>IF(A26="","",'Our DOs'!D18)</f>
      </c>
      <c r="E26" s="22">
        <f>IF(A26="","",'Our DOs'!E18)</f>
      </c>
      <c r="F26" s="22">
        <f>IF(A26="","",'Our DOs'!F18)</f>
      </c>
      <c r="G26" s="22">
        <f>IF(OR(A26="",B26=""),"",IFERROR(INDEX('Their statement'!$D$2:$D$201,MATCH(B26,'Their statement'!$A$2:$A$201,0)),""))</f>
      </c>
      <c r="H26" s="22">
        <f>IF(OR(A26="",B26=""),"",IFERROR(INDEX('Their statement'!$E$2:$E$201,MATCH(B26,'Their statement'!$A$2:$A$201,0)),""))</f>
      </c>
      <c r="I26" s="19">
        <f>IF(A26="","",IF(B26="","No PO yet",IF(ISNUMBER(MATCH(B26,'Their statement'!$A$2:$A$201,0)),IF(AND(ROUND(F26-IF(H26="",0,H26),2)=0,OR(G26="",ROUND(E26-IF(G26="",0,G26),2)=0)),"Matches","Differs"),"Missing")))</f>
      </c>
      <c r="J26" s="22">
        <f>IF(OR(I26="Missing",I26="Differs"),F26-IF(H26="",0,H26),"")</f>
      </c>
      <c r="K26" s="10"/>
      <c r="L26" s="23">
        <f>IF(N26=1,SUM($N$10:N26),"")</f>
      </c>
      <c r="M26" s="24">
        <f>IF(N26=1,"Customer PO "&amp;B26&amp;" · "&amp;C26&amp;" · case "&amp;D26&amp;CHAR(10)&amp;"Sales "&amp;DOLLAR(E26,2)&amp;" · commission "&amp;DOLLAR(F26,2)&amp;CHAR(10)&amp;IF(I26="Missing","Not on your "&amp;Setup!$B$5&amp;" commission statement.","Your statement shows commission "&amp;DOLLAR(IF(H26="",0,H26),2)&amp;" (ours "&amp;DOLLAR(F26,2)&amp;")"&amp;IF(AND(G26&lt;&gt;"",ROUND(E26-IF(G26="",0,G26),2)&lt;&gt;0),"; sales price "&amp;DOLLAR(IF(G26="",0,G26),2)&amp;" (ours "&amp;DOLLAR(E26,2)&amp;")","")&amp;".")&amp;CHAR(10)&amp;IF('Our DOs'!G18&lt;&gt;"","We sent this Delivery Order"&amp;IF('Our DOs'!I18="Yes",", with the hospital's purchase order number,","")&amp;" on "&amp;'Our DOs'!G18&amp;IF('Our DOs'!H18&lt;&gt;""," by "&amp;LOWER('Our DOs'!H18),"")&amp;". The Delivery Order is available on request.","The Delivery Order is available on request."),"")</f>
      </c>
      <c r="N26" s="25">
        <f>IF(AND(OR(I26="Missing",I26="Differs"),K26&lt;&gt;"No"),1,0)</f>
      </c>
    </row>
    <row r="27" spans="1:14" x14ac:dyDescent="0.25">
      <c r="A27" s="19">
        <f>IF('Our DOs'!A19="","",'Our DOs'!A19)</f>
      </c>
      <c r="B27" s="19">
        <f>IF(A27="","",'Our DOs'!B19)</f>
      </c>
      <c r="C27" s="19">
        <f>IF(A27="","",'Our DOs'!C19)</f>
      </c>
      <c r="D27" s="19">
        <f>IF(A27="","",'Our DOs'!D19)</f>
      </c>
      <c r="E27" s="22">
        <f>IF(A27="","",'Our DOs'!E19)</f>
      </c>
      <c r="F27" s="22">
        <f>IF(A27="","",'Our DOs'!F19)</f>
      </c>
      <c r="G27" s="22">
        <f>IF(OR(A27="",B27=""),"",IFERROR(INDEX('Their statement'!$D$2:$D$201,MATCH(B27,'Their statement'!$A$2:$A$201,0)),""))</f>
      </c>
      <c r="H27" s="22">
        <f>IF(OR(A27="",B27=""),"",IFERROR(INDEX('Their statement'!$E$2:$E$201,MATCH(B27,'Their statement'!$A$2:$A$201,0)),""))</f>
      </c>
      <c r="I27" s="19">
        <f>IF(A27="","",IF(B27="","No PO yet",IF(ISNUMBER(MATCH(B27,'Their statement'!$A$2:$A$201,0)),IF(AND(ROUND(F27-IF(H27="",0,H27),2)=0,OR(G27="",ROUND(E27-IF(G27="",0,G27),2)=0)),"Matches","Differs"),"Missing")))</f>
      </c>
      <c r="J27" s="22">
        <f>IF(OR(I27="Missing",I27="Differs"),F27-IF(H27="",0,H27),"")</f>
      </c>
      <c r="K27" s="10"/>
      <c r="L27" s="23">
        <f>IF(N27=1,SUM($N$10:N27),"")</f>
      </c>
      <c r="M27" s="24">
        <f>IF(N27=1,"Customer PO "&amp;B27&amp;" · "&amp;C27&amp;" · case "&amp;D27&amp;CHAR(10)&amp;"Sales "&amp;DOLLAR(E27,2)&amp;" · commission "&amp;DOLLAR(F27,2)&amp;CHAR(10)&amp;IF(I27="Missing","Not on your "&amp;Setup!$B$5&amp;" commission statement.","Your statement shows commission "&amp;DOLLAR(IF(H27="",0,H27),2)&amp;" (ours "&amp;DOLLAR(F27,2)&amp;")"&amp;IF(AND(G27&lt;&gt;"",ROUND(E27-IF(G27="",0,G27),2)&lt;&gt;0),"; sales price "&amp;DOLLAR(IF(G27="",0,G27),2)&amp;" (ours "&amp;DOLLAR(E27,2)&amp;")","")&amp;".")&amp;CHAR(10)&amp;IF('Our DOs'!G19&lt;&gt;"","We sent this Delivery Order"&amp;IF('Our DOs'!I19="Yes",", with the hospital's purchase order number,","")&amp;" on "&amp;'Our DOs'!G19&amp;IF('Our DOs'!H19&lt;&gt;""," by "&amp;LOWER('Our DOs'!H19),"")&amp;". The Delivery Order is available on request.","The Delivery Order is available on request."),"")</f>
      </c>
      <c r="N27" s="25">
        <f>IF(AND(OR(I27="Missing",I27="Differs"),K27&lt;&gt;"No"),1,0)</f>
      </c>
    </row>
    <row r="28" spans="1:14" x14ac:dyDescent="0.25">
      <c r="A28" s="19">
        <f>IF('Our DOs'!A20="","",'Our DOs'!A20)</f>
      </c>
      <c r="B28" s="19">
        <f>IF(A28="","",'Our DOs'!B20)</f>
      </c>
      <c r="C28" s="19">
        <f>IF(A28="","",'Our DOs'!C20)</f>
      </c>
      <c r="D28" s="19">
        <f>IF(A28="","",'Our DOs'!D20)</f>
      </c>
      <c r="E28" s="22">
        <f>IF(A28="","",'Our DOs'!E20)</f>
      </c>
      <c r="F28" s="22">
        <f>IF(A28="","",'Our DOs'!F20)</f>
      </c>
      <c r="G28" s="22">
        <f>IF(OR(A28="",B28=""),"",IFERROR(INDEX('Their statement'!$D$2:$D$201,MATCH(B28,'Their statement'!$A$2:$A$201,0)),""))</f>
      </c>
      <c r="H28" s="22">
        <f>IF(OR(A28="",B28=""),"",IFERROR(INDEX('Their statement'!$E$2:$E$201,MATCH(B28,'Their statement'!$A$2:$A$201,0)),""))</f>
      </c>
      <c r="I28" s="19">
        <f>IF(A28="","",IF(B28="","No PO yet",IF(ISNUMBER(MATCH(B28,'Their statement'!$A$2:$A$201,0)),IF(AND(ROUND(F28-IF(H28="",0,H28),2)=0,OR(G28="",ROUND(E28-IF(G28="",0,G28),2)=0)),"Matches","Differs"),"Missing")))</f>
      </c>
      <c r="J28" s="22">
        <f>IF(OR(I28="Missing",I28="Differs"),F28-IF(H28="",0,H28),"")</f>
      </c>
      <c r="K28" s="10"/>
      <c r="L28" s="23">
        <f>IF(N28=1,SUM($N$10:N28),"")</f>
      </c>
      <c r="M28" s="24">
        <f>IF(N28=1,"Customer PO "&amp;B28&amp;" · "&amp;C28&amp;" · case "&amp;D28&amp;CHAR(10)&amp;"Sales "&amp;DOLLAR(E28,2)&amp;" · commission "&amp;DOLLAR(F28,2)&amp;CHAR(10)&amp;IF(I28="Missing","Not on your "&amp;Setup!$B$5&amp;" commission statement.","Your statement shows commission "&amp;DOLLAR(IF(H28="",0,H28),2)&amp;" (ours "&amp;DOLLAR(F28,2)&amp;")"&amp;IF(AND(G28&lt;&gt;"",ROUND(E28-IF(G28="",0,G28),2)&lt;&gt;0),"; sales price "&amp;DOLLAR(IF(G28="",0,G28),2)&amp;" (ours "&amp;DOLLAR(E28,2)&amp;")","")&amp;".")&amp;CHAR(10)&amp;IF('Our DOs'!G20&lt;&gt;"","We sent this Delivery Order"&amp;IF('Our DOs'!I20="Yes",", with the hospital's purchase order number,","")&amp;" on "&amp;'Our DOs'!G20&amp;IF('Our DOs'!H20&lt;&gt;""," by "&amp;LOWER('Our DOs'!H20),"")&amp;". The Delivery Order is available on request.","The Delivery Order is available on request."),"")</f>
      </c>
      <c r="N28" s="25">
        <f>IF(AND(OR(I28="Missing",I28="Differs"),K28&lt;&gt;"No"),1,0)</f>
      </c>
    </row>
    <row r="29" spans="1:14" x14ac:dyDescent="0.25">
      <c r="A29" s="19">
        <f>IF('Our DOs'!A21="","",'Our DOs'!A21)</f>
      </c>
      <c r="B29" s="19">
        <f>IF(A29="","",'Our DOs'!B21)</f>
      </c>
      <c r="C29" s="19">
        <f>IF(A29="","",'Our DOs'!C21)</f>
      </c>
      <c r="D29" s="19">
        <f>IF(A29="","",'Our DOs'!D21)</f>
      </c>
      <c r="E29" s="22">
        <f>IF(A29="","",'Our DOs'!E21)</f>
      </c>
      <c r="F29" s="22">
        <f>IF(A29="","",'Our DOs'!F21)</f>
      </c>
      <c r="G29" s="22">
        <f>IF(OR(A29="",B29=""),"",IFERROR(INDEX('Their statement'!$D$2:$D$201,MATCH(B29,'Their statement'!$A$2:$A$201,0)),""))</f>
      </c>
      <c r="H29" s="22">
        <f>IF(OR(A29="",B29=""),"",IFERROR(INDEX('Their statement'!$E$2:$E$201,MATCH(B29,'Their statement'!$A$2:$A$201,0)),""))</f>
      </c>
      <c r="I29" s="19">
        <f>IF(A29="","",IF(B29="","No PO yet",IF(ISNUMBER(MATCH(B29,'Their statement'!$A$2:$A$201,0)),IF(AND(ROUND(F29-IF(H29="",0,H29),2)=0,OR(G29="",ROUND(E29-IF(G29="",0,G29),2)=0)),"Matches","Differs"),"Missing")))</f>
      </c>
      <c r="J29" s="22">
        <f>IF(OR(I29="Missing",I29="Differs"),F29-IF(H29="",0,H29),"")</f>
      </c>
      <c r="K29" s="10"/>
      <c r="L29" s="23">
        <f>IF(N29=1,SUM($N$10:N29),"")</f>
      </c>
      <c r="M29" s="24">
        <f>IF(N29=1,"Customer PO "&amp;B29&amp;" · "&amp;C29&amp;" · case "&amp;D29&amp;CHAR(10)&amp;"Sales "&amp;DOLLAR(E29,2)&amp;" · commission "&amp;DOLLAR(F29,2)&amp;CHAR(10)&amp;IF(I29="Missing","Not on your "&amp;Setup!$B$5&amp;" commission statement.","Your statement shows commission "&amp;DOLLAR(IF(H29="",0,H29),2)&amp;" (ours "&amp;DOLLAR(F29,2)&amp;")"&amp;IF(AND(G29&lt;&gt;"",ROUND(E29-IF(G29="",0,G29),2)&lt;&gt;0),"; sales price "&amp;DOLLAR(IF(G29="",0,G29),2)&amp;" (ours "&amp;DOLLAR(E29,2)&amp;")","")&amp;".")&amp;CHAR(10)&amp;IF('Our DOs'!G21&lt;&gt;"","We sent this Delivery Order"&amp;IF('Our DOs'!I21="Yes",", with the hospital's purchase order number,","")&amp;" on "&amp;'Our DOs'!G21&amp;IF('Our DOs'!H21&lt;&gt;""," by "&amp;LOWER('Our DOs'!H21),"")&amp;". The Delivery Order is available on request.","The Delivery Order is available on request."),"")</f>
      </c>
      <c r="N29" s="25">
        <f>IF(AND(OR(I29="Missing",I29="Differs"),K29&lt;&gt;"No"),1,0)</f>
      </c>
    </row>
    <row r="30" spans="1:14" x14ac:dyDescent="0.25">
      <c r="A30" s="19">
        <f>IF('Our DOs'!A22="","",'Our DOs'!A22)</f>
      </c>
      <c r="B30" s="19">
        <f>IF(A30="","",'Our DOs'!B22)</f>
      </c>
      <c r="C30" s="19">
        <f>IF(A30="","",'Our DOs'!C22)</f>
      </c>
      <c r="D30" s="19">
        <f>IF(A30="","",'Our DOs'!D22)</f>
      </c>
      <c r="E30" s="22">
        <f>IF(A30="","",'Our DOs'!E22)</f>
      </c>
      <c r="F30" s="22">
        <f>IF(A30="","",'Our DOs'!F22)</f>
      </c>
      <c r="G30" s="22">
        <f>IF(OR(A30="",B30=""),"",IFERROR(INDEX('Their statement'!$D$2:$D$201,MATCH(B30,'Their statement'!$A$2:$A$201,0)),""))</f>
      </c>
      <c r="H30" s="22">
        <f>IF(OR(A30="",B30=""),"",IFERROR(INDEX('Their statement'!$E$2:$E$201,MATCH(B30,'Their statement'!$A$2:$A$201,0)),""))</f>
      </c>
      <c r="I30" s="19">
        <f>IF(A30="","",IF(B30="","No PO yet",IF(ISNUMBER(MATCH(B30,'Their statement'!$A$2:$A$201,0)),IF(AND(ROUND(F30-IF(H30="",0,H30),2)=0,OR(G30="",ROUND(E30-IF(G30="",0,G30),2)=0)),"Matches","Differs"),"Missing")))</f>
      </c>
      <c r="J30" s="22">
        <f>IF(OR(I30="Missing",I30="Differs"),F30-IF(H30="",0,H30),"")</f>
      </c>
      <c r="K30" s="10"/>
      <c r="L30" s="23">
        <f>IF(N30=1,SUM($N$10:N30),"")</f>
      </c>
      <c r="M30" s="24">
        <f>IF(N30=1,"Customer PO "&amp;B30&amp;" · "&amp;C30&amp;" · case "&amp;D30&amp;CHAR(10)&amp;"Sales "&amp;DOLLAR(E30,2)&amp;" · commission "&amp;DOLLAR(F30,2)&amp;CHAR(10)&amp;IF(I30="Missing","Not on your "&amp;Setup!$B$5&amp;" commission statement.","Your statement shows commission "&amp;DOLLAR(IF(H30="",0,H30),2)&amp;" (ours "&amp;DOLLAR(F30,2)&amp;")"&amp;IF(AND(G30&lt;&gt;"",ROUND(E30-IF(G30="",0,G30),2)&lt;&gt;0),"; sales price "&amp;DOLLAR(IF(G30="",0,G30),2)&amp;" (ours "&amp;DOLLAR(E30,2)&amp;")","")&amp;".")&amp;CHAR(10)&amp;IF('Our DOs'!G22&lt;&gt;"","We sent this Delivery Order"&amp;IF('Our DOs'!I22="Yes",", with the hospital's purchase order number,","")&amp;" on "&amp;'Our DOs'!G22&amp;IF('Our DOs'!H22&lt;&gt;""," by "&amp;LOWER('Our DOs'!H22),"")&amp;". The Delivery Order is available on request.","The Delivery Order is available on request."),"")</f>
      </c>
      <c r="N30" s="25">
        <f>IF(AND(OR(I30="Missing",I30="Differs"),K30&lt;&gt;"No"),1,0)</f>
      </c>
    </row>
    <row r="31" spans="1:14" x14ac:dyDescent="0.25">
      <c r="A31" s="19">
        <f>IF('Our DOs'!A23="","",'Our DOs'!A23)</f>
      </c>
      <c r="B31" s="19">
        <f>IF(A31="","",'Our DOs'!B23)</f>
      </c>
      <c r="C31" s="19">
        <f>IF(A31="","",'Our DOs'!C23)</f>
      </c>
      <c r="D31" s="19">
        <f>IF(A31="","",'Our DOs'!D23)</f>
      </c>
      <c r="E31" s="22">
        <f>IF(A31="","",'Our DOs'!E23)</f>
      </c>
      <c r="F31" s="22">
        <f>IF(A31="","",'Our DOs'!F23)</f>
      </c>
      <c r="G31" s="22">
        <f>IF(OR(A31="",B31=""),"",IFERROR(INDEX('Their statement'!$D$2:$D$201,MATCH(B31,'Their statement'!$A$2:$A$201,0)),""))</f>
      </c>
      <c r="H31" s="22">
        <f>IF(OR(A31="",B31=""),"",IFERROR(INDEX('Their statement'!$E$2:$E$201,MATCH(B31,'Their statement'!$A$2:$A$201,0)),""))</f>
      </c>
      <c r="I31" s="19">
        <f>IF(A31="","",IF(B31="","No PO yet",IF(ISNUMBER(MATCH(B31,'Their statement'!$A$2:$A$201,0)),IF(AND(ROUND(F31-IF(H31="",0,H31),2)=0,OR(G31="",ROUND(E31-IF(G31="",0,G31),2)=0)),"Matches","Differs"),"Missing")))</f>
      </c>
      <c r="J31" s="22">
        <f>IF(OR(I31="Missing",I31="Differs"),F31-IF(H31="",0,H31),"")</f>
      </c>
      <c r="K31" s="10"/>
      <c r="L31" s="23">
        <f>IF(N31=1,SUM($N$10:N31),"")</f>
      </c>
      <c r="M31" s="24">
        <f>IF(N31=1,"Customer PO "&amp;B31&amp;" · "&amp;C31&amp;" · case "&amp;D31&amp;CHAR(10)&amp;"Sales "&amp;DOLLAR(E31,2)&amp;" · commission "&amp;DOLLAR(F31,2)&amp;CHAR(10)&amp;IF(I31="Missing","Not on your "&amp;Setup!$B$5&amp;" commission statement.","Your statement shows commission "&amp;DOLLAR(IF(H31="",0,H31),2)&amp;" (ours "&amp;DOLLAR(F31,2)&amp;")"&amp;IF(AND(G31&lt;&gt;"",ROUND(E31-IF(G31="",0,G31),2)&lt;&gt;0),"; sales price "&amp;DOLLAR(IF(G31="",0,G31),2)&amp;" (ours "&amp;DOLLAR(E31,2)&amp;")","")&amp;".")&amp;CHAR(10)&amp;IF('Our DOs'!G23&lt;&gt;"","We sent this Delivery Order"&amp;IF('Our DOs'!I23="Yes",", with the hospital's purchase order number,","")&amp;" on "&amp;'Our DOs'!G23&amp;IF('Our DOs'!H23&lt;&gt;""," by "&amp;LOWER('Our DOs'!H23),"")&amp;". The Delivery Order is available on request.","The Delivery Order is available on request."),"")</f>
      </c>
      <c r="N31" s="25">
        <f>IF(AND(OR(I31="Missing",I31="Differs"),K31&lt;&gt;"No"),1,0)</f>
      </c>
    </row>
    <row r="32" spans="1:14" x14ac:dyDescent="0.25">
      <c r="A32" s="19">
        <f>IF('Our DOs'!A24="","",'Our DOs'!A24)</f>
      </c>
      <c r="B32" s="19">
        <f>IF(A32="","",'Our DOs'!B24)</f>
      </c>
      <c r="C32" s="19">
        <f>IF(A32="","",'Our DOs'!C24)</f>
      </c>
      <c r="D32" s="19">
        <f>IF(A32="","",'Our DOs'!D24)</f>
      </c>
      <c r="E32" s="22">
        <f>IF(A32="","",'Our DOs'!E24)</f>
      </c>
      <c r="F32" s="22">
        <f>IF(A32="","",'Our DOs'!F24)</f>
      </c>
      <c r="G32" s="22">
        <f>IF(OR(A32="",B32=""),"",IFERROR(INDEX('Their statement'!$D$2:$D$201,MATCH(B32,'Their statement'!$A$2:$A$201,0)),""))</f>
      </c>
      <c r="H32" s="22">
        <f>IF(OR(A32="",B32=""),"",IFERROR(INDEX('Their statement'!$E$2:$E$201,MATCH(B32,'Their statement'!$A$2:$A$201,0)),""))</f>
      </c>
      <c r="I32" s="19">
        <f>IF(A32="","",IF(B32="","No PO yet",IF(ISNUMBER(MATCH(B32,'Their statement'!$A$2:$A$201,0)),IF(AND(ROUND(F32-IF(H32="",0,H32),2)=0,OR(G32="",ROUND(E32-IF(G32="",0,G32),2)=0)),"Matches","Differs"),"Missing")))</f>
      </c>
      <c r="J32" s="22">
        <f>IF(OR(I32="Missing",I32="Differs"),F32-IF(H32="",0,H32),"")</f>
      </c>
      <c r="K32" s="10"/>
      <c r="L32" s="23">
        <f>IF(N32=1,SUM($N$10:N32),"")</f>
      </c>
      <c r="M32" s="24">
        <f>IF(N32=1,"Customer PO "&amp;B32&amp;" · "&amp;C32&amp;" · case "&amp;D32&amp;CHAR(10)&amp;"Sales "&amp;DOLLAR(E32,2)&amp;" · commission "&amp;DOLLAR(F32,2)&amp;CHAR(10)&amp;IF(I32="Missing","Not on your "&amp;Setup!$B$5&amp;" commission statement.","Your statement shows commission "&amp;DOLLAR(IF(H32="",0,H32),2)&amp;" (ours "&amp;DOLLAR(F32,2)&amp;")"&amp;IF(AND(G32&lt;&gt;"",ROUND(E32-IF(G32="",0,G32),2)&lt;&gt;0),"; sales price "&amp;DOLLAR(IF(G32="",0,G32),2)&amp;" (ours "&amp;DOLLAR(E32,2)&amp;")","")&amp;".")&amp;CHAR(10)&amp;IF('Our DOs'!G24&lt;&gt;"","We sent this Delivery Order"&amp;IF('Our DOs'!I24="Yes",", with the hospital's purchase order number,","")&amp;" on "&amp;'Our DOs'!G24&amp;IF('Our DOs'!H24&lt;&gt;""," by "&amp;LOWER('Our DOs'!H24),"")&amp;". The Delivery Order is available on request.","The Delivery Order is available on request."),"")</f>
      </c>
      <c r="N32" s="25">
        <f>IF(AND(OR(I32="Missing",I32="Differs"),K32&lt;&gt;"No"),1,0)</f>
      </c>
    </row>
    <row r="33" spans="1:14" x14ac:dyDescent="0.25">
      <c r="A33" s="19">
        <f>IF('Our DOs'!A25="","",'Our DOs'!A25)</f>
      </c>
      <c r="B33" s="19">
        <f>IF(A33="","",'Our DOs'!B25)</f>
      </c>
      <c r="C33" s="19">
        <f>IF(A33="","",'Our DOs'!C25)</f>
      </c>
      <c r="D33" s="19">
        <f>IF(A33="","",'Our DOs'!D25)</f>
      </c>
      <c r="E33" s="22">
        <f>IF(A33="","",'Our DOs'!E25)</f>
      </c>
      <c r="F33" s="22">
        <f>IF(A33="","",'Our DOs'!F25)</f>
      </c>
      <c r="G33" s="22">
        <f>IF(OR(A33="",B33=""),"",IFERROR(INDEX('Their statement'!$D$2:$D$201,MATCH(B33,'Their statement'!$A$2:$A$201,0)),""))</f>
      </c>
      <c r="H33" s="22">
        <f>IF(OR(A33="",B33=""),"",IFERROR(INDEX('Their statement'!$E$2:$E$201,MATCH(B33,'Their statement'!$A$2:$A$201,0)),""))</f>
      </c>
      <c r="I33" s="19">
        <f>IF(A33="","",IF(B33="","No PO yet",IF(ISNUMBER(MATCH(B33,'Their statement'!$A$2:$A$201,0)),IF(AND(ROUND(F33-IF(H33="",0,H33),2)=0,OR(G33="",ROUND(E33-IF(G33="",0,G33),2)=0)),"Matches","Differs"),"Missing")))</f>
      </c>
      <c r="J33" s="22">
        <f>IF(OR(I33="Missing",I33="Differs"),F33-IF(H33="",0,H33),"")</f>
      </c>
      <c r="K33" s="10"/>
      <c r="L33" s="23">
        <f>IF(N33=1,SUM($N$10:N33),"")</f>
      </c>
      <c r="M33" s="24">
        <f>IF(N33=1,"Customer PO "&amp;B33&amp;" · "&amp;C33&amp;" · case "&amp;D33&amp;CHAR(10)&amp;"Sales "&amp;DOLLAR(E33,2)&amp;" · commission "&amp;DOLLAR(F33,2)&amp;CHAR(10)&amp;IF(I33="Missing","Not on your "&amp;Setup!$B$5&amp;" commission statement.","Your statement shows commission "&amp;DOLLAR(IF(H33="",0,H33),2)&amp;" (ours "&amp;DOLLAR(F33,2)&amp;")"&amp;IF(AND(G33&lt;&gt;"",ROUND(E33-IF(G33="",0,G33),2)&lt;&gt;0),"; sales price "&amp;DOLLAR(IF(G33="",0,G33),2)&amp;" (ours "&amp;DOLLAR(E33,2)&amp;")","")&amp;".")&amp;CHAR(10)&amp;IF('Our DOs'!G25&lt;&gt;"","We sent this Delivery Order"&amp;IF('Our DOs'!I25="Yes",", with the hospital's purchase order number,","")&amp;" on "&amp;'Our DOs'!G25&amp;IF('Our DOs'!H25&lt;&gt;""," by "&amp;LOWER('Our DOs'!H25),"")&amp;". The Delivery Order is available on request.","The Delivery Order is available on request."),"")</f>
      </c>
      <c r="N33" s="25">
        <f>IF(AND(OR(I33="Missing",I33="Differs"),K33&lt;&gt;"No"),1,0)</f>
      </c>
    </row>
    <row r="34" spans="1:14" x14ac:dyDescent="0.25">
      <c r="A34" s="19">
        <f>IF('Our DOs'!A26="","",'Our DOs'!A26)</f>
      </c>
      <c r="B34" s="19">
        <f>IF(A34="","",'Our DOs'!B26)</f>
      </c>
      <c r="C34" s="19">
        <f>IF(A34="","",'Our DOs'!C26)</f>
      </c>
      <c r="D34" s="19">
        <f>IF(A34="","",'Our DOs'!D26)</f>
      </c>
      <c r="E34" s="22">
        <f>IF(A34="","",'Our DOs'!E26)</f>
      </c>
      <c r="F34" s="22">
        <f>IF(A34="","",'Our DOs'!F26)</f>
      </c>
      <c r="G34" s="22">
        <f>IF(OR(A34="",B34=""),"",IFERROR(INDEX('Their statement'!$D$2:$D$201,MATCH(B34,'Their statement'!$A$2:$A$201,0)),""))</f>
      </c>
      <c r="H34" s="22">
        <f>IF(OR(A34="",B34=""),"",IFERROR(INDEX('Their statement'!$E$2:$E$201,MATCH(B34,'Their statement'!$A$2:$A$201,0)),""))</f>
      </c>
      <c r="I34" s="19">
        <f>IF(A34="","",IF(B34="","No PO yet",IF(ISNUMBER(MATCH(B34,'Their statement'!$A$2:$A$201,0)),IF(AND(ROUND(F34-IF(H34="",0,H34),2)=0,OR(G34="",ROUND(E34-IF(G34="",0,G34),2)=0)),"Matches","Differs"),"Missing")))</f>
      </c>
      <c r="J34" s="22">
        <f>IF(OR(I34="Missing",I34="Differs"),F34-IF(H34="",0,H34),"")</f>
      </c>
      <c r="K34" s="10"/>
      <c r="L34" s="23">
        <f>IF(N34=1,SUM($N$10:N34),"")</f>
      </c>
      <c r="M34" s="24">
        <f>IF(N34=1,"Customer PO "&amp;B34&amp;" · "&amp;C34&amp;" · case "&amp;D34&amp;CHAR(10)&amp;"Sales "&amp;DOLLAR(E34,2)&amp;" · commission "&amp;DOLLAR(F34,2)&amp;CHAR(10)&amp;IF(I34="Missing","Not on your "&amp;Setup!$B$5&amp;" commission statement.","Your statement shows commission "&amp;DOLLAR(IF(H34="",0,H34),2)&amp;" (ours "&amp;DOLLAR(F34,2)&amp;")"&amp;IF(AND(G34&lt;&gt;"",ROUND(E34-IF(G34="",0,G34),2)&lt;&gt;0),"; sales price "&amp;DOLLAR(IF(G34="",0,G34),2)&amp;" (ours "&amp;DOLLAR(E34,2)&amp;")","")&amp;".")&amp;CHAR(10)&amp;IF('Our DOs'!G26&lt;&gt;"","We sent this Delivery Order"&amp;IF('Our DOs'!I26="Yes",", with the hospital's purchase order number,","")&amp;" on "&amp;'Our DOs'!G26&amp;IF('Our DOs'!H26&lt;&gt;""," by "&amp;LOWER('Our DOs'!H26),"")&amp;". The Delivery Order is available on request.","The Delivery Order is available on request."),"")</f>
      </c>
      <c r="N34" s="25">
        <f>IF(AND(OR(I34="Missing",I34="Differs"),K34&lt;&gt;"No"),1,0)</f>
      </c>
    </row>
    <row r="35" spans="1:14" x14ac:dyDescent="0.25">
      <c r="A35" s="19">
        <f>IF('Our DOs'!A27="","",'Our DOs'!A27)</f>
      </c>
      <c r="B35" s="19">
        <f>IF(A35="","",'Our DOs'!B27)</f>
      </c>
      <c r="C35" s="19">
        <f>IF(A35="","",'Our DOs'!C27)</f>
      </c>
      <c r="D35" s="19">
        <f>IF(A35="","",'Our DOs'!D27)</f>
      </c>
      <c r="E35" s="22">
        <f>IF(A35="","",'Our DOs'!E27)</f>
      </c>
      <c r="F35" s="22">
        <f>IF(A35="","",'Our DOs'!F27)</f>
      </c>
      <c r="G35" s="22">
        <f>IF(OR(A35="",B35=""),"",IFERROR(INDEX('Their statement'!$D$2:$D$201,MATCH(B35,'Their statement'!$A$2:$A$201,0)),""))</f>
      </c>
      <c r="H35" s="22">
        <f>IF(OR(A35="",B35=""),"",IFERROR(INDEX('Their statement'!$E$2:$E$201,MATCH(B35,'Their statement'!$A$2:$A$201,0)),""))</f>
      </c>
      <c r="I35" s="19">
        <f>IF(A35="","",IF(B35="","No PO yet",IF(ISNUMBER(MATCH(B35,'Their statement'!$A$2:$A$201,0)),IF(AND(ROUND(F35-IF(H35="",0,H35),2)=0,OR(G35="",ROUND(E35-IF(G35="",0,G35),2)=0)),"Matches","Differs"),"Missing")))</f>
      </c>
      <c r="J35" s="22">
        <f>IF(OR(I35="Missing",I35="Differs"),F35-IF(H35="",0,H35),"")</f>
      </c>
      <c r="K35" s="10"/>
      <c r="L35" s="23">
        <f>IF(N35=1,SUM($N$10:N35),"")</f>
      </c>
      <c r="M35" s="24">
        <f>IF(N35=1,"Customer PO "&amp;B35&amp;" · "&amp;C35&amp;" · case "&amp;D35&amp;CHAR(10)&amp;"Sales "&amp;DOLLAR(E35,2)&amp;" · commission "&amp;DOLLAR(F35,2)&amp;CHAR(10)&amp;IF(I35="Missing","Not on your "&amp;Setup!$B$5&amp;" commission statement.","Your statement shows commission "&amp;DOLLAR(IF(H35="",0,H35),2)&amp;" (ours "&amp;DOLLAR(F35,2)&amp;")"&amp;IF(AND(G35&lt;&gt;"",ROUND(E35-IF(G35="",0,G35),2)&lt;&gt;0),"; sales price "&amp;DOLLAR(IF(G35="",0,G35),2)&amp;" (ours "&amp;DOLLAR(E35,2)&amp;")","")&amp;".")&amp;CHAR(10)&amp;IF('Our DOs'!G27&lt;&gt;"","We sent this Delivery Order"&amp;IF('Our DOs'!I27="Yes",", with the hospital's purchase order number,","")&amp;" on "&amp;'Our DOs'!G27&amp;IF('Our DOs'!H27&lt;&gt;""," by "&amp;LOWER('Our DOs'!H27),"")&amp;". The Delivery Order is available on request.","The Delivery Order is available on request."),"")</f>
      </c>
      <c r="N35" s="25">
        <f>IF(AND(OR(I35="Missing",I35="Differs"),K35&lt;&gt;"No"),1,0)</f>
      </c>
    </row>
    <row r="36" spans="1:14" x14ac:dyDescent="0.25">
      <c r="A36" s="19">
        <f>IF('Our DOs'!A28="","",'Our DOs'!A28)</f>
      </c>
      <c r="B36" s="19">
        <f>IF(A36="","",'Our DOs'!B28)</f>
      </c>
      <c r="C36" s="19">
        <f>IF(A36="","",'Our DOs'!C28)</f>
      </c>
      <c r="D36" s="19">
        <f>IF(A36="","",'Our DOs'!D28)</f>
      </c>
      <c r="E36" s="22">
        <f>IF(A36="","",'Our DOs'!E28)</f>
      </c>
      <c r="F36" s="22">
        <f>IF(A36="","",'Our DOs'!F28)</f>
      </c>
      <c r="G36" s="22">
        <f>IF(OR(A36="",B36=""),"",IFERROR(INDEX('Their statement'!$D$2:$D$201,MATCH(B36,'Their statement'!$A$2:$A$201,0)),""))</f>
      </c>
      <c r="H36" s="22">
        <f>IF(OR(A36="",B36=""),"",IFERROR(INDEX('Their statement'!$E$2:$E$201,MATCH(B36,'Their statement'!$A$2:$A$201,0)),""))</f>
      </c>
      <c r="I36" s="19">
        <f>IF(A36="","",IF(B36="","No PO yet",IF(ISNUMBER(MATCH(B36,'Their statement'!$A$2:$A$201,0)),IF(AND(ROUND(F36-IF(H36="",0,H36),2)=0,OR(G36="",ROUND(E36-IF(G36="",0,G36),2)=0)),"Matches","Differs"),"Missing")))</f>
      </c>
      <c r="J36" s="22">
        <f>IF(OR(I36="Missing",I36="Differs"),F36-IF(H36="",0,H36),"")</f>
      </c>
      <c r="K36" s="10"/>
      <c r="L36" s="23">
        <f>IF(N36=1,SUM($N$10:N36),"")</f>
      </c>
      <c r="M36" s="24">
        <f>IF(N36=1,"Customer PO "&amp;B36&amp;" · "&amp;C36&amp;" · case "&amp;D36&amp;CHAR(10)&amp;"Sales "&amp;DOLLAR(E36,2)&amp;" · commission "&amp;DOLLAR(F36,2)&amp;CHAR(10)&amp;IF(I36="Missing","Not on your "&amp;Setup!$B$5&amp;" commission statement.","Your statement shows commission "&amp;DOLLAR(IF(H36="",0,H36),2)&amp;" (ours "&amp;DOLLAR(F36,2)&amp;")"&amp;IF(AND(G36&lt;&gt;"",ROUND(E36-IF(G36="",0,G36),2)&lt;&gt;0),"; sales price "&amp;DOLLAR(IF(G36="",0,G36),2)&amp;" (ours "&amp;DOLLAR(E36,2)&amp;")","")&amp;".")&amp;CHAR(10)&amp;IF('Our DOs'!G28&lt;&gt;"","We sent this Delivery Order"&amp;IF('Our DOs'!I28="Yes",", with the hospital's purchase order number,","")&amp;" on "&amp;'Our DOs'!G28&amp;IF('Our DOs'!H28&lt;&gt;""," by "&amp;LOWER('Our DOs'!H28),"")&amp;". The Delivery Order is available on request.","The Delivery Order is available on request."),"")</f>
      </c>
      <c r="N36" s="25">
        <f>IF(AND(OR(I36="Missing",I36="Differs"),K36&lt;&gt;"No"),1,0)</f>
      </c>
    </row>
    <row r="37" spans="1:14" x14ac:dyDescent="0.25">
      <c r="A37" s="19">
        <f>IF('Our DOs'!A29="","",'Our DOs'!A29)</f>
      </c>
      <c r="B37" s="19">
        <f>IF(A37="","",'Our DOs'!B29)</f>
      </c>
      <c r="C37" s="19">
        <f>IF(A37="","",'Our DOs'!C29)</f>
      </c>
      <c r="D37" s="19">
        <f>IF(A37="","",'Our DOs'!D29)</f>
      </c>
      <c r="E37" s="22">
        <f>IF(A37="","",'Our DOs'!E29)</f>
      </c>
      <c r="F37" s="22">
        <f>IF(A37="","",'Our DOs'!F29)</f>
      </c>
      <c r="G37" s="22">
        <f>IF(OR(A37="",B37=""),"",IFERROR(INDEX('Their statement'!$D$2:$D$201,MATCH(B37,'Their statement'!$A$2:$A$201,0)),""))</f>
      </c>
      <c r="H37" s="22">
        <f>IF(OR(A37="",B37=""),"",IFERROR(INDEX('Their statement'!$E$2:$E$201,MATCH(B37,'Their statement'!$A$2:$A$201,0)),""))</f>
      </c>
      <c r="I37" s="19">
        <f>IF(A37="","",IF(B37="","No PO yet",IF(ISNUMBER(MATCH(B37,'Their statement'!$A$2:$A$201,0)),IF(AND(ROUND(F37-IF(H37="",0,H37),2)=0,OR(G37="",ROUND(E37-IF(G37="",0,G37),2)=0)),"Matches","Differs"),"Missing")))</f>
      </c>
      <c r="J37" s="22">
        <f>IF(OR(I37="Missing",I37="Differs"),F37-IF(H37="",0,H37),"")</f>
      </c>
      <c r="K37" s="10"/>
      <c r="L37" s="23">
        <f>IF(N37=1,SUM($N$10:N37),"")</f>
      </c>
      <c r="M37" s="24">
        <f>IF(N37=1,"Customer PO "&amp;B37&amp;" · "&amp;C37&amp;" · case "&amp;D37&amp;CHAR(10)&amp;"Sales "&amp;DOLLAR(E37,2)&amp;" · commission "&amp;DOLLAR(F37,2)&amp;CHAR(10)&amp;IF(I37="Missing","Not on your "&amp;Setup!$B$5&amp;" commission statement.","Your statement shows commission "&amp;DOLLAR(IF(H37="",0,H37),2)&amp;" (ours "&amp;DOLLAR(F37,2)&amp;")"&amp;IF(AND(G37&lt;&gt;"",ROUND(E37-IF(G37="",0,G37),2)&lt;&gt;0),"; sales price "&amp;DOLLAR(IF(G37="",0,G37),2)&amp;" (ours "&amp;DOLLAR(E37,2)&amp;")","")&amp;".")&amp;CHAR(10)&amp;IF('Our DOs'!G29&lt;&gt;"","We sent this Delivery Order"&amp;IF('Our DOs'!I29="Yes",", with the hospital's purchase order number,","")&amp;" on "&amp;'Our DOs'!G29&amp;IF('Our DOs'!H29&lt;&gt;""," by "&amp;LOWER('Our DOs'!H29),"")&amp;". The Delivery Order is available on request.","The Delivery Order is available on request."),"")</f>
      </c>
      <c r="N37" s="25">
        <f>IF(AND(OR(I37="Missing",I37="Differs"),K37&lt;&gt;"No"),1,0)</f>
      </c>
    </row>
    <row r="38" spans="1:14" x14ac:dyDescent="0.25">
      <c r="A38" s="19">
        <f>IF('Our DOs'!A30="","",'Our DOs'!A30)</f>
      </c>
      <c r="B38" s="19">
        <f>IF(A38="","",'Our DOs'!B30)</f>
      </c>
      <c r="C38" s="19">
        <f>IF(A38="","",'Our DOs'!C30)</f>
      </c>
      <c r="D38" s="19">
        <f>IF(A38="","",'Our DOs'!D30)</f>
      </c>
      <c r="E38" s="22">
        <f>IF(A38="","",'Our DOs'!E30)</f>
      </c>
      <c r="F38" s="22">
        <f>IF(A38="","",'Our DOs'!F30)</f>
      </c>
      <c r="G38" s="22">
        <f>IF(OR(A38="",B38=""),"",IFERROR(INDEX('Their statement'!$D$2:$D$201,MATCH(B38,'Their statement'!$A$2:$A$201,0)),""))</f>
      </c>
      <c r="H38" s="22">
        <f>IF(OR(A38="",B38=""),"",IFERROR(INDEX('Their statement'!$E$2:$E$201,MATCH(B38,'Their statement'!$A$2:$A$201,0)),""))</f>
      </c>
      <c r="I38" s="19">
        <f>IF(A38="","",IF(B38="","No PO yet",IF(ISNUMBER(MATCH(B38,'Their statement'!$A$2:$A$201,0)),IF(AND(ROUND(F38-IF(H38="",0,H38),2)=0,OR(G38="",ROUND(E38-IF(G38="",0,G38),2)=0)),"Matches","Differs"),"Missing")))</f>
      </c>
      <c r="J38" s="22">
        <f>IF(OR(I38="Missing",I38="Differs"),F38-IF(H38="",0,H38),"")</f>
      </c>
      <c r="K38" s="10"/>
      <c r="L38" s="23">
        <f>IF(N38=1,SUM($N$10:N38),"")</f>
      </c>
      <c r="M38" s="24">
        <f>IF(N38=1,"Customer PO "&amp;B38&amp;" · "&amp;C38&amp;" · case "&amp;D38&amp;CHAR(10)&amp;"Sales "&amp;DOLLAR(E38,2)&amp;" · commission "&amp;DOLLAR(F38,2)&amp;CHAR(10)&amp;IF(I38="Missing","Not on your "&amp;Setup!$B$5&amp;" commission statement.","Your statement shows commission "&amp;DOLLAR(IF(H38="",0,H38),2)&amp;" (ours "&amp;DOLLAR(F38,2)&amp;")"&amp;IF(AND(G38&lt;&gt;"",ROUND(E38-IF(G38="",0,G38),2)&lt;&gt;0),"; sales price "&amp;DOLLAR(IF(G38="",0,G38),2)&amp;" (ours "&amp;DOLLAR(E38,2)&amp;")","")&amp;".")&amp;CHAR(10)&amp;IF('Our DOs'!G30&lt;&gt;"","We sent this Delivery Order"&amp;IF('Our DOs'!I30="Yes",", with the hospital's purchase order number,","")&amp;" on "&amp;'Our DOs'!G30&amp;IF('Our DOs'!H30&lt;&gt;""," by "&amp;LOWER('Our DOs'!H30),"")&amp;". The Delivery Order is available on request.","The Delivery Order is available on request."),"")</f>
      </c>
      <c r="N38" s="25">
        <f>IF(AND(OR(I38="Missing",I38="Differs"),K38&lt;&gt;"No"),1,0)</f>
      </c>
    </row>
    <row r="39" spans="1:14" x14ac:dyDescent="0.25">
      <c r="A39" s="19">
        <f>IF('Our DOs'!A31="","",'Our DOs'!A31)</f>
      </c>
      <c r="B39" s="19">
        <f>IF(A39="","",'Our DOs'!B31)</f>
      </c>
      <c r="C39" s="19">
        <f>IF(A39="","",'Our DOs'!C31)</f>
      </c>
      <c r="D39" s="19">
        <f>IF(A39="","",'Our DOs'!D31)</f>
      </c>
      <c r="E39" s="22">
        <f>IF(A39="","",'Our DOs'!E31)</f>
      </c>
      <c r="F39" s="22">
        <f>IF(A39="","",'Our DOs'!F31)</f>
      </c>
      <c r="G39" s="22">
        <f>IF(OR(A39="",B39=""),"",IFERROR(INDEX('Their statement'!$D$2:$D$201,MATCH(B39,'Their statement'!$A$2:$A$201,0)),""))</f>
      </c>
      <c r="H39" s="22">
        <f>IF(OR(A39="",B39=""),"",IFERROR(INDEX('Their statement'!$E$2:$E$201,MATCH(B39,'Their statement'!$A$2:$A$201,0)),""))</f>
      </c>
      <c r="I39" s="19">
        <f>IF(A39="","",IF(B39="","No PO yet",IF(ISNUMBER(MATCH(B39,'Their statement'!$A$2:$A$201,0)),IF(AND(ROUND(F39-IF(H39="",0,H39),2)=0,OR(G39="",ROUND(E39-IF(G39="",0,G39),2)=0)),"Matches","Differs"),"Missing")))</f>
      </c>
      <c r="J39" s="22">
        <f>IF(OR(I39="Missing",I39="Differs"),F39-IF(H39="",0,H39),"")</f>
      </c>
      <c r="K39" s="10"/>
      <c r="L39" s="23">
        <f>IF(N39=1,SUM($N$10:N39),"")</f>
      </c>
      <c r="M39" s="24">
        <f>IF(N39=1,"Customer PO "&amp;B39&amp;" · "&amp;C39&amp;" · case "&amp;D39&amp;CHAR(10)&amp;"Sales "&amp;DOLLAR(E39,2)&amp;" · commission "&amp;DOLLAR(F39,2)&amp;CHAR(10)&amp;IF(I39="Missing","Not on your "&amp;Setup!$B$5&amp;" commission statement.","Your statement shows commission "&amp;DOLLAR(IF(H39="",0,H39),2)&amp;" (ours "&amp;DOLLAR(F39,2)&amp;")"&amp;IF(AND(G39&lt;&gt;"",ROUND(E39-IF(G39="",0,G39),2)&lt;&gt;0),"; sales price "&amp;DOLLAR(IF(G39="",0,G39),2)&amp;" (ours "&amp;DOLLAR(E39,2)&amp;")","")&amp;".")&amp;CHAR(10)&amp;IF('Our DOs'!G31&lt;&gt;"","We sent this Delivery Order"&amp;IF('Our DOs'!I31="Yes",", with the hospital's purchase order number,","")&amp;" on "&amp;'Our DOs'!G31&amp;IF('Our DOs'!H31&lt;&gt;""," by "&amp;LOWER('Our DOs'!H31),"")&amp;". The Delivery Order is available on request.","The Delivery Order is available on request."),"")</f>
      </c>
      <c r="N39" s="25">
        <f>IF(AND(OR(I39="Missing",I39="Differs"),K39&lt;&gt;"No"),1,0)</f>
      </c>
    </row>
    <row r="40" spans="1:14" x14ac:dyDescent="0.25">
      <c r="A40" s="19">
        <f>IF('Our DOs'!A32="","",'Our DOs'!A32)</f>
      </c>
      <c r="B40" s="19">
        <f>IF(A40="","",'Our DOs'!B32)</f>
      </c>
      <c r="C40" s="19">
        <f>IF(A40="","",'Our DOs'!C32)</f>
      </c>
      <c r="D40" s="19">
        <f>IF(A40="","",'Our DOs'!D32)</f>
      </c>
      <c r="E40" s="22">
        <f>IF(A40="","",'Our DOs'!E32)</f>
      </c>
      <c r="F40" s="22">
        <f>IF(A40="","",'Our DOs'!F32)</f>
      </c>
      <c r="G40" s="22">
        <f>IF(OR(A40="",B40=""),"",IFERROR(INDEX('Their statement'!$D$2:$D$201,MATCH(B40,'Their statement'!$A$2:$A$201,0)),""))</f>
      </c>
      <c r="H40" s="22">
        <f>IF(OR(A40="",B40=""),"",IFERROR(INDEX('Their statement'!$E$2:$E$201,MATCH(B40,'Their statement'!$A$2:$A$201,0)),""))</f>
      </c>
      <c r="I40" s="19">
        <f>IF(A40="","",IF(B40="","No PO yet",IF(ISNUMBER(MATCH(B40,'Their statement'!$A$2:$A$201,0)),IF(AND(ROUND(F40-IF(H40="",0,H40),2)=0,OR(G40="",ROUND(E40-IF(G40="",0,G40),2)=0)),"Matches","Differs"),"Missing")))</f>
      </c>
      <c r="J40" s="22">
        <f>IF(OR(I40="Missing",I40="Differs"),F40-IF(H40="",0,H40),"")</f>
      </c>
      <c r="K40" s="10"/>
      <c r="L40" s="23">
        <f>IF(N40=1,SUM($N$10:N40),"")</f>
      </c>
      <c r="M40" s="24">
        <f>IF(N40=1,"Customer PO "&amp;B40&amp;" · "&amp;C40&amp;" · case "&amp;D40&amp;CHAR(10)&amp;"Sales "&amp;DOLLAR(E40,2)&amp;" · commission "&amp;DOLLAR(F40,2)&amp;CHAR(10)&amp;IF(I40="Missing","Not on your "&amp;Setup!$B$5&amp;" commission statement.","Your statement shows commission "&amp;DOLLAR(IF(H40="",0,H40),2)&amp;" (ours "&amp;DOLLAR(F40,2)&amp;")"&amp;IF(AND(G40&lt;&gt;"",ROUND(E40-IF(G40="",0,G40),2)&lt;&gt;0),"; sales price "&amp;DOLLAR(IF(G40="",0,G40),2)&amp;" (ours "&amp;DOLLAR(E40,2)&amp;")","")&amp;".")&amp;CHAR(10)&amp;IF('Our DOs'!G32&lt;&gt;"","We sent this Delivery Order"&amp;IF('Our DOs'!I32="Yes",", with the hospital's purchase order number,","")&amp;" on "&amp;'Our DOs'!G32&amp;IF('Our DOs'!H32&lt;&gt;""," by "&amp;LOWER('Our DOs'!H32),"")&amp;". The Delivery Order is available on request.","The Delivery Order is available on request."),"")</f>
      </c>
      <c r="N40" s="25">
        <f>IF(AND(OR(I40="Missing",I40="Differs"),K40&lt;&gt;"No"),1,0)</f>
      </c>
    </row>
    <row r="41" spans="1:14" x14ac:dyDescent="0.25">
      <c r="A41" s="19">
        <f>IF('Our DOs'!A33="","",'Our DOs'!A33)</f>
      </c>
      <c r="B41" s="19">
        <f>IF(A41="","",'Our DOs'!B33)</f>
      </c>
      <c r="C41" s="19">
        <f>IF(A41="","",'Our DOs'!C33)</f>
      </c>
      <c r="D41" s="19">
        <f>IF(A41="","",'Our DOs'!D33)</f>
      </c>
      <c r="E41" s="22">
        <f>IF(A41="","",'Our DOs'!E33)</f>
      </c>
      <c r="F41" s="22">
        <f>IF(A41="","",'Our DOs'!F33)</f>
      </c>
      <c r="G41" s="22">
        <f>IF(OR(A41="",B41=""),"",IFERROR(INDEX('Their statement'!$D$2:$D$201,MATCH(B41,'Their statement'!$A$2:$A$201,0)),""))</f>
      </c>
      <c r="H41" s="22">
        <f>IF(OR(A41="",B41=""),"",IFERROR(INDEX('Their statement'!$E$2:$E$201,MATCH(B41,'Their statement'!$A$2:$A$201,0)),""))</f>
      </c>
      <c r="I41" s="19">
        <f>IF(A41="","",IF(B41="","No PO yet",IF(ISNUMBER(MATCH(B41,'Their statement'!$A$2:$A$201,0)),IF(AND(ROUND(F41-IF(H41="",0,H41),2)=0,OR(G41="",ROUND(E41-IF(G41="",0,G41),2)=0)),"Matches","Differs"),"Missing")))</f>
      </c>
      <c r="J41" s="22">
        <f>IF(OR(I41="Missing",I41="Differs"),F41-IF(H41="",0,H41),"")</f>
      </c>
      <c r="K41" s="10"/>
      <c r="L41" s="23">
        <f>IF(N41=1,SUM($N$10:N41),"")</f>
      </c>
      <c r="M41" s="24">
        <f>IF(N41=1,"Customer PO "&amp;B41&amp;" · "&amp;C41&amp;" · case "&amp;D41&amp;CHAR(10)&amp;"Sales "&amp;DOLLAR(E41,2)&amp;" · commission "&amp;DOLLAR(F41,2)&amp;CHAR(10)&amp;IF(I41="Missing","Not on your "&amp;Setup!$B$5&amp;" commission statement.","Your statement shows commission "&amp;DOLLAR(IF(H41="",0,H41),2)&amp;" (ours "&amp;DOLLAR(F41,2)&amp;")"&amp;IF(AND(G41&lt;&gt;"",ROUND(E41-IF(G41="",0,G41),2)&lt;&gt;0),"; sales price "&amp;DOLLAR(IF(G41="",0,G41),2)&amp;" (ours "&amp;DOLLAR(E41,2)&amp;")","")&amp;".")&amp;CHAR(10)&amp;IF('Our DOs'!G33&lt;&gt;"","We sent this Delivery Order"&amp;IF('Our DOs'!I33="Yes",", with the hospital's purchase order number,","")&amp;" on "&amp;'Our DOs'!G33&amp;IF('Our DOs'!H33&lt;&gt;""," by "&amp;LOWER('Our DOs'!H33),"")&amp;". The Delivery Order is available on request.","The Delivery Order is available on request."),"")</f>
      </c>
      <c r="N41" s="25">
        <f>IF(AND(OR(I41="Missing",I41="Differs"),K41&lt;&gt;"No"),1,0)</f>
      </c>
    </row>
    <row r="42" spans="1:14" x14ac:dyDescent="0.25">
      <c r="A42" s="19">
        <f>IF('Our DOs'!A34="","",'Our DOs'!A34)</f>
      </c>
      <c r="B42" s="19">
        <f>IF(A42="","",'Our DOs'!B34)</f>
      </c>
      <c r="C42" s="19">
        <f>IF(A42="","",'Our DOs'!C34)</f>
      </c>
      <c r="D42" s="19">
        <f>IF(A42="","",'Our DOs'!D34)</f>
      </c>
      <c r="E42" s="22">
        <f>IF(A42="","",'Our DOs'!E34)</f>
      </c>
      <c r="F42" s="22">
        <f>IF(A42="","",'Our DOs'!F34)</f>
      </c>
      <c r="G42" s="22">
        <f>IF(OR(A42="",B42=""),"",IFERROR(INDEX('Their statement'!$D$2:$D$201,MATCH(B42,'Their statement'!$A$2:$A$201,0)),""))</f>
      </c>
      <c r="H42" s="22">
        <f>IF(OR(A42="",B42=""),"",IFERROR(INDEX('Their statement'!$E$2:$E$201,MATCH(B42,'Their statement'!$A$2:$A$201,0)),""))</f>
      </c>
      <c r="I42" s="19">
        <f>IF(A42="","",IF(B42="","No PO yet",IF(ISNUMBER(MATCH(B42,'Their statement'!$A$2:$A$201,0)),IF(AND(ROUND(F42-IF(H42="",0,H42),2)=0,OR(G42="",ROUND(E42-IF(G42="",0,G42),2)=0)),"Matches","Differs"),"Missing")))</f>
      </c>
      <c r="J42" s="22">
        <f>IF(OR(I42="Missing",I42="Differs"),F42-IF(H42="",0,H42),"")</f>
      </c>
      <c r="K42" s="10"/>
      <c r="L42" s="23">
        <f>IF(N42=1,SUM($N$10:N42),"")</f>
      </c>
      <c r="M42" s="24">
        <f>IF(N42=1,"Customer PO "&amp;B42&amp;" · "&amp;C42&amp;" · case "&amp;D42&amp;CHAR(10)&amp;"Sales "&amp;DOLLAR(E42,2)&amp;" · commission "&amp;DOLLAR(F42,2)&amp;CHAR(10)&amp;IF(I42="Missing","Not on your "&amp;Setup!$B$5&amp;" commission statement.","Your statement shows commission "&amp;DOLLAR(IF(H42="",0,H42),2)&amp;" (ours "&amp;DOLLAR(F42,2)&amp;")"&amp;IF(AND(G42&lt;&gt;"",ROUND(E42-IF(G42="",0,G42),2)&lt;&gt;0),"; sales price "&amp;DOLLAR(IF(G42="",0,G42),2)&amp;" (ours "&amp;DOLLAR(E42,2)&amp;")","")&amp;".")&amp;CHAR(10)&amp;IF('Our DOs'!G34&lt;&gt;"","We sent this Delivery Order"&amp;IF('Our DOs'!I34="Yes",", with the hospital's purchase order number,","")&amp;" on "&amp;'Our DOs'!G34&amp;IF('Our DOs'!H34&lt;&gt;""," by "&amp;LOWER('Our DOs'!H34),"")&amp;". The Delivery Order is available on request.","The Delivery Order is available on request."),"")</f>
      </c>
      <c r="N42" s="25">
        <f>IF(AND(OR(I42="Missing",I42="Differs"),K42&lt;&gt;"No"),1,0)</f>
      </c>
    </row>
    <row r="43" spans="1:14" x14ac:dyDescent="0.25">
      <c r="A43" s="19">
        <f>IF('Our DOs'!A35="","",'Our DOs'!A35)</f>
      </c>
      <c r="B43" s="19">
        <f>IF(A43="","",'Our DOs'!B35)</f>
      </c>
      <c r="C43" s="19">
        <f>IF(A43="","",'Our DOs'!C35)</f>
      </c>
      <c r="D43" s="19">
        <f>IF(A43="","",'Our DOs'!D35)</f>
      </c>
      <c r="E43" s="22">
        <f>IF(A43="","",'Our DOs'!E35)</f>
      </c>
      <c r="F43" s="22">
        <f>IF(A43="","",'Our DOs'!F35)</f>
      </c>
      <c r="G43" s="22">
        <f>IF(OR(A43="",B43=""),"",IFERROR(INDEX('Their statement'!$D$2:$D$201,MATCH(B43,'Their statement'!$A$2:$A$201,0)),""))</f>
      </c>
      <c r="H43" s="22">
        <f>IF(OR(A43="",B43=""),"",IFERROR(INDEX('Their statement'!$E$2:$E$201,MATCH(B43,'Their statement'!$A$2:$A$201,0)),""))</f>
      </c>
      <c r="I43" s="19">
        <f>IF(A43="","",IF(B43="","No PO yet",IF(ISNUMBER(MATCH(B43,'Their statement'!$A$2:$A$201,0)),IF(AND(ROUND(F43-IF(H43="",0,H43),2)=0,OR(G43="",ROUND(E43-IF(G43="",0,G43),2)=0)),"Matches","Differs"),"Missing")))</f>
      </c>
      <c r="J43" s="22">
        <f>IF(OR(I43="Missing",I43="Differs"),F43-IF(H43="",0,H43),"")</f>
      </c>
      <c r="K43" s="10"/>
      <c r="L43" s="23">
        <f>IF(N43=1,SUM($N$10:N43),"")</f>
      </c>
      <c r="M43" s="24">
        <f>IF(N43=1,"Customer PO "&amp;B43&amp;" · "&amp;C43&amp;" · case "&amp;D43&amp;CHAR(10)&amp;"Sales "&amp;DOLLAR(E43,2)&amp;" · commission "&amp;DOLLAR(F43,2)&amp;CHAR(10)&amp;IF(I43="Missing","Not on your "&amp;Setup!$B$5&amp;" commission statement.","Your statement shows commission "&amp;DOLLAR(IF(H43="",0,H43),2)&amp;" (ours "&amp;DOLLAR(F43,2)&amp;")"&amp;IF(AND(G43&lt;&gt;"",ROUND(E43-IF(G43="",0,G43),2)&lt;&gt;0),"; sales price "&amp;DOLLAR(IF(G43="",0,G43),2)&amp;" (ours "&amp;DOLLAR(E43,2)&amp;")","")&amp;".")&amp;CHAR(10)&amp;IF('Our DOs'!G35&lt;&gt;"","We sent this Delivery Order"&amp;IF('Our DOs'!I35="Yes",", with the hospital's purchase order number,","")&amp;" on "&amp;'Our DOs'!G35&amp;IF('Our DOs'!H35&lt;&gt;""," by "&amp;LOWER('Our DOs'!H35),"")&amp;". The Delivery Order is available on request.","The Delivery Order is available on request."),"")</f>
      </c>
      <c r="N43" s="25">
        <f>IF(AND(OR(I43="Missing",I43="Differs"),K43&lt;&gt;"No"),1,0)</f>
      </c>
    </row>
    <row r="44" spans="1:14" x14ac:dyDescent="0.25">
      <c r="A44" s="19">
        <f>IF('Our DOs'!A36="","",'Our DOs'!A36)</f>
      </c>
      <c r="B44" s="19">
        <f>IF(A44="","",'Our DOs'!B36)</f>
      </c>
      <c r="C44" s="19">
        <f>IF(A44="","",'Our DOs'!C36)</f>
      </c>
      <c r="D44" s="19">
        <f>IF(A44="","",'Our DOs'!D36)</f>
      </c>
      <c r="E44" s="22">
        <f>IF(A44="","",'Our DOs'!E36)</f>
      </c>
      <c r="F44" s="22">
        <f>IF(A44="","",'Our DOs'!F36)</f>
      </c>
      <c r="G44" s="22">
        <f>IF(OR(A44="",B44=""),"",IFERROR(INDEX('Their statement'!$D$2:$D$201,MATCH(B44,'Their statement'!$A$2:$A$201,0)),""))</f>
      </c>
      <c r="H44" s="22">
        <f>IF(OR(A44="",B44=""),"",IFERROR(INDEX('Their statement'!$E$2:$E$201,MATCH(B44,'Their statement'!$A$2:$A$201,0)),""))</f>
      </c>
      <c r="I44" s="19">
        <f>IF(A44="","",IF(B44="","No PO yet",IF(ISNUMBER(MATCH(B44,'Their statement'!$A$2:$A$201,0)),IF(AND(ROUND(F44-IF(H44="",0,H44),2)=0,OR(G44="",ROUND(E44-IF(G44="",0,G44),2)=0)),"Matches","Differs"),"Missing")))</f>
      </c>
      <c r="J44" s="22">
        <f>IF(OR(I44="Missing",I44="Differs"),F44-IF(H44="",0,H44),"")</f>
      </c>
      <c r="K44" s="10"/>
      <c r="L44" s="23">
        <f>IF(N44=1,SUM($N$10:N44),"")</f>
      </c>
      <c r="M44" s="24">
        <f>IF(N44=1,"Customer PO "&amp;B44&amp;" · "&amp;C44&amp;" · case "&amp;D44&amp;CHAR(10)&amp;"Sales "&amp;DOLLAR(E44,2)&amp;" · commission "&amp;DOLLAR(F44,2)&amp;CHAR(10)&amp;IF(I44="Missing","Not on your "&amp;Setup!$B$5&amp;" commission statement.","Your statement shows commission "&amp;DOLLAR(IF(H44="",0,H44),2)&amp;" (ours "&amp;DOLLAR(F44,2)&amp;")"&amp;IF(AND(G44&lt;&gt;"",ROUND(E44-IF(G44="",0,G44),2)&lt;&gt;0),"; sales price "&amp;DOLLAR(IF(G44="",0,G44),2)&amp;" (ours "&amp;DOLLAR(E44,2)&amp;")","")&amp;".")&amp;CHAR(10)&amp;IF('Our DOs'!G36&lt;&gt;"","We sent this Delivery Order"&amp;IF('Our DOs'!I36="Yes",", with the hospital's purchase order number,","")&amp;" on "&amp;'Our DOs'!G36&amp;IF('Our DOs'!H36&lt;&gt;""," by "&amp;LOWER('Our DOs'!H36),"")&amp;". The Delivery Order is available on request.","The Delivery Order is available on request."),"")</f>
      </c>
      <c r="N44" s="25">
        <f>IF(AND(OR(I44="Missing",I44="Differs"),K44&lt;&gt;"No"),1,0)</f>
      </c>
    </row>
    <row r="45" spans="1:14" x14ac:dyDescent="0.25">
      <c r="A45" s="19">
        <f>IF('Our DOs'!A37="","",'Our DOs'!A37)</f>
      </c>
      <c r="B45" s="19">
        <f>IF(A45="","",'Our DOs'!B37)</f>
      </c>
      <c r="C45" s="19">
        <f>IF(A45="","",'Our DOs'!C37)</f>
      </c>
      <c r="D45" s="19">
        <f>IF(A45="","",'Our DOs'!D37)</f>
      </c>
      <c r="E45" s="22">
        <f>IF(A45="","",'Our DOs'!E37)</f>
      </c>
      <c r="F45" s="22">
        <f>IF(A45="","",'Our DOs'!F37)</f>
      </c>
      <c r="G45" s="22">
        <f>IF(OR(A45="",B45=""),"",IFERROR(INDEX('Their statement'!$D$2:$D$201,MATCH(B45,'Their statement'!$A$2:$A$201,0)),""))</f>
      </c>
      <c r="H45" s="22">
        <f>IF(OR(A45="",B45=""),"",IFERROR(INDEX('Their statement'!$E$2:$E$201,MATCH(B45,'Their statement'!$A$2:$A$201,0)),""))</f>
      </c>
      <c r="I45" s="19">
        <f>IF(A45="","",IF(B45="","No PO yet",IF(ISNUMBER(MATCH(B45,'Their statement'!$A$2:$A$201,0)),IF(AND(ROUND(F45-IF(H45="",0,H45),2)=0,OR(G45="",ROUND(E45-IF(G45="",0,G45),2)=0)),"Matches","Differs"),"Missing")))</f>
      </c>
      <c r="J45" s="22">
        <f>IF(OR(I45="Missing",I45="Differs"),F45-IF(H45="",0,H45),"")</f>
      </c>
      <c r="K45" s="10"/>
      <c r="L45" s="23">
        <f>IF(N45=1,SUM($N$10:N45),"")</f>
      </c>
      <c r="M45" s="24">
        <f>IF(N45=1,"Customer PO "&amp;B45&amp;" · "&amp;C45&amp;" · case "&amp;D45&amp;CHAR(10)&amp;"Sales "&amp;DOLLAR(E45,2)&amp;" · commission "&amp;DOLLAR(F45,2)&amp;CHAR(10)&amp;IF(I45="Missing","Not on your "&amp;Setup!$B$5&amp;" commission statement.","Your statement shows commission "&amp;DOLLAR(IF(H45="",0,H45),2)&amp;" (ours "&amp;DOLLAR(F45,2)&amp;")"&amp;IF(AND(G45&lt;&gt;"",ROUND(E45-IF(G45="",0,G45),2)&lt;&gt;0),"; sales price "&amp;DOLLAR(IF(G45="",0,G45),2)&amp;" (ours "&amp;DOLLAR(E45,2)&amp;")","")&amp;".")&amp;CHAR(10)&amp;IF('Our DOs'!G37&lt;&gt;"","We sent this Delivery Order"&amp;IF('Our DOs'!I37="Yes",", with the hospital's purchase order number,","")&amp;" on "&amp;'Our DOs'!G37&amp;IF('Our DOs'!H37&lt;&gt;""," by "&amp;LOWER('Our DOs'!H37),"")&amp;". The Delivery Order is available on request.","The Delivery Order is available on request."),"")</f>
      </c>
      <c r="N45" s="25">
        <f>IF(AND(OR(I45="Missing",I45="Differs"),K45&lt;&gt;"No"),1,0)</f>
      </c>
    </row>
    <row r="46" spans="1:14" x14ac:dyDescent="0.25">
      <c r="A46" s="19">
        <f>IF('Our DOs'!A38="","",'Our DOs'!A38)</f>
      </c>
      <c r="B46" s="19">
        <f>IF(A46="","",'Our DOs'!B38)</f>
      </c>
      <c r="C46" s="19">
        <f>IF(A46="","",'Our DOs'!C38)</f>
      </c>
      <c r="D46" s="19">
        <f>IF(A46="","",'Our DOs'!D38)</f>
      </c>
      <c r="E46" s="22">
        <f>IF(A46="","",'Our DOs'!E38)</f>
      </c>
      <c r="F46" s="22">
        <f>IF(A46="","",'Our DOs'!F38)</f>
      </c>
      <c r="G46" s="22">
        <f>IF(OR(A46="",B46=""),"",IFERROR(INDEX('Their statement'!$D$2:$D$201,MATCH(B46,'Their statement'!$A$2:$A$201,0)),""))</f>
      </c>
      <c r="H46" s="22">
        <f>IF(OR(A46="",B46=""),"",IFERROR(INDEX('Their statement'!$E$2:$E$201,MATCH(B46,'Their statement'!$A$2:$A$201,0)),""))</f>
      </c>
      <c r="I46" s="19">
        <f>IF(A46="","",IF(B46="","No PO yet",IF(ISNUMBER(MATCH(B46,'Their statement'!$A$2:$A$201,0)),IF(AND(ROUND(F46-IF(H46="",0,H46),2)=0,OR(G46="",ROUND(E46-IF(G46="",0,G46),2)=0)),"Matches","Differs"),"Missing")))</f>
      </c>
      <c r="J46" s="22">
        <f>IF(OR(I46="Missing",I46="Differs"),F46-IF(H46="",0,H46),"")</f>
      </c>
      <c r="K46" s="10"/>
      <c r="L46" s="23">
        <f>IF(N46=1,SUM($N$10:N46),"")</f>
      </c>
      <c r="M46" s="24">
        <f>IF(N46=1,"Customer PO "&amp;B46&amp;" · "&amp;C46&amp;" · case "&amp;D46&amp;CHAR(10)&amp;"Sales "&amp;DOLLAR(E46,2)&amp;" · commission "&amp;DOLLAR(F46,2)&amp;CHAR(10)&amp;IF(I46="Missing","Not on your "&amp;Setup!$B$5&amp;" commission statement.","Your statement shows commission "&amp;DOLLAR(IF(H46="",0,H46),2)&amp;" (ours "&amp;DOLLAR(F46,2)&amp;")"&amp;IF(AND(G46&lt;&gt;"",ROUND(E46-IF(G46="",0,G46),2)&lt;&gt;0),"; sales price "&amp;DOLLAR(IF(G46="",0,G46),2)&amp;" (ours "&amp;DOLLAR(E46,2)&amp;")","")&amp;".")&amp;CHAR(10)&amp;IF('Our DOs'!G38&lt;&gt;"","We sent this Delivery Order"&amp;IF('Our DOs'!I38="Yes",", with the hospital's purchase order number,","")&amp;" on "&amp;'Our DOs'!G38&amp;IF('Our DOs'!H38&lt;&gt;""," by "&amp;LOWER('Our DOs'!H38),"")&amp;". The Delivery Order is available on request.","The Delivery Order is available on request."),"")</f>
      </c>
      <c r="N46" s="25">
        <f>IF(AND(OR(I46="Missing",I46="Differs"),K46&lt;&gt;"No"),1,0)</f>
      </c>
    </row>
    <row r="47" spans="1:14" x14ac:dyDescent="0.25">
      <c r="A47" s="19">
        <f>IF('Our DOs'!A39="","",'Our DOs'!A39)</f>
      </c>
      <c r="B47" s="19">
        <f>IF(A47="","",'Our DOs'!B39)</f>
      </c>
      <c r="C47" s="19">
        <f>IF(A47="","",'Our DOs'!C39)</f>
      </c>
      <c r="D47" s="19">
        <f>IF(A47="","",'Our DOs'!D39)</f>
      </c>
      <c r="E47" s="22">
        <f>IF(A47="","",'Our DOs'!E39)</f>
      </c>
      <c r="F47" s="22">
        <f>IF(A47="","",'Our DOs'!F39)</f>
      </c>
      <c r="G47" s="22">
        <f>IF(OR(A47="",B47=""),"",IFERROR(INDEX('Their statement'!$D$2:$D$201,MATCH(B47,'Their statement'!$A$2:$A$201,0)),""))</f>
      </c>
      <c r="H47" s="22">
        <f>IF(OR(A47="",B47=""),"",IFERROR(INDEX('Their statement'!$E$2:$E$201,MATCH(B47,'Their statement'!$A$2:$A$201,0)),""))</f>
      </c>
      <c r="I47" s="19">
        <f>IF(A47="","",IF(B47="","No PO yet",IF(ISNUMBER(MATCH(B47,'Their statement'!$A$2:$A$201,0)),IF(AND(ROUND(F47-IF(H47="",0,H47),2)=0,OR(G47="",ROUND(E47-IF(G47="",0,G47),2)=0)),"Matches","Differs"),"Missing")))</f>
      </c>
      <c r="J47" s="22">
        <f>IF(OR(I47="Missing",I47="Differs"),F47-IF(H47="",0,H47),"")</f>
      </c>
      <c r="K47" s="10"/>
      <c r="L47" s="23">
        <f>IF(N47=1,SUM($N$10:N47),"")</f>
      </c>
      <c r="M47" s="24">
        <f>IF(N47=1,"Customer PO "&amp;B47&amp;" · "&amp;C47&amp;" · case "&amp;D47&amp;CHAR(10)&amp;"Sales "&amp;DOLLAR(E47,2)&amp;" · commission "&amp;DOLLAR(F47,2)&amp;CHAR(10)&amp;IF(I47="Missing","Not on your "&amp;Setup!$B$5&amp;" commission statement.","Your statement shows commission "&amp;DOLLAR(IF(H47="",0,H47),2)&amp;" (ours "&amp;DOLLAR(F47,2)&amp;")"&amp;IF(AND(G47&lt;&gt;"",ROUND(E47-IF(G47="",0,G47),2)&lt;&gt;0),"; sales price "&amp;DOLLAR(IF(G47="",0,G47),2)&amp;" (ours "&amp;DOLLAR(E47,2)&amp;")","")&amp;".")&amp;CHAR(10)&amp;IF('Our DOs'!G39&lt;&gt;"","We sent this Delivery Order"&amp;IF('Our DOs'!I39="Yes",", with the hospital's purchase order number,","")&amp;" on "&amp;'Our DOs'!G39&amp;IF('Our DOs'!H39&lt;&gt;""," by "&amp;LOWER('Our DOs'!H39),"")&amp;". The Delivery Order is available on request.","The Delivery Order is available on request."),"")</f>
      </c>
      <c r="N47" s="25">
        <f>IF(AND(OR(I47="Missing",I47="Differs"),K47&lt;&gt;"No"),1,0)</f>
      </c>
    </row>
    <row r="48" spans="1:14" x14ac:dyDescent="0.25">
      <c r="A48" s="19">
        <f>IF('Our DOs'!A40="","",'Our DOs'!A40)</f>
      </c>
      <c r="B48" s="19">
        <f>IF(A48="","",'Our DOs'!B40)</f>
      </c>
      <c r="C48" s="19">
        <f>IF(A48="","",'Our DOs'!C40)</f>
      </c>
      <c r="D48" s="19">
        <f>IF(A48="","",'Our DOs'!D40)</f>
      </c>
      <c r="E48" s="22">
        <f>IF(A48="","",'Our DOs'!E40)</f>
      </c>
      <c r="F48" s="22">
        <f>IF(A48="","",'Our DOs'!F40)</f>
      </c>
      <c r="G48" s="22">
        <f>IF(OR(A48="",B48=""),"",IFERROR(INDEX('Their statement'!$D$2:$D$201,MATCH(B48,'Their statement'!$A$2:$A$201,0)),""))</f>
      </c>
      <c r="H48" s="22">
        <f>IF(OR(A48="",B48=""),"",IFERROR(INDEX('Their statement'!$E$2:$E$201,MATCH(B48,'Their statement'!$A$2:$A$201,0)),""))</f>
      </c>
      <c r="I48" s="19">
        <f>IF(A48="","",IF(B48="","No PO yet",IF(ISNUMBER(MATCH(B48,'Their statement'!$A$2:$A$201,0)),IF(AND(ROUND(F48-IF(H48="",0,H48),2)=0,OR(G48="",ROUND(E48-IF(G48="",0,G48),2)=0)),"Matches","Differs"),"Missing")))</f>
      </c>
      <c r="J48" s="22">
        <f>IF(OR(I48="Missing",I48="Differs"),F48-IF(H48="",0,H48),"")</f>
      </c>
      <c r="K48" s="10"/>
      <c r="L48" s="23">
        <f>IF(N48=1,SUM($N$10:N48),"")</f>
      </c>
      <c r="M48" s="24">
        <f>IF(N48=1,"Customer PO "&amp;B48&amp;" · "&amp;C48&amp;" · case "&amp;D48&amp;CHAR(10)&amp;"Sales "&amp;DOLLAR(E48,2)&amp;" · commission "&amp;DOLLAR(F48,2)&amp;CHAR(10)&amp;IF(I48="Missing","Not on your "&amp;Setup!$B$5&amp;" commission statement.","Your statement shows commission "&amp;DOLLAR(IF(H48="",0,H48),2)&amp;" (ours "&amp;DOLLAR(F48,2)&amp;")"&amp;IF(AND(G48&lt;&gt;"",ROUND(E48-IF(G48="",0,G48),2)&lt;&gt;0),"; sales price "&amp;DOLLAR(IF(G48="",0,G48),2)&amp;" (ours "&amp;DOLLAR(E48,2)&amp;")","")&amp;".")&amp;CHAR(10)&amp;IF('Our DOs'!G40&lt;&gt;"","We sent this Delivery Order"&amp;IF('Our DOs'!I40="Yes",", with the hospital's purchase order number,","")&amp;" on "&amp;'Our DOs'!G40&amp;IF('Our DOs'!H40&lt;&gt;""," by "&amp;LOWER('Our DOs'!H40),"")&amp;". The Delivery Order is available on request.","The Delivery Order is available on request."),"")</f>
      </c>
      <c r="N48" s="25">
        <f>IF(AND(OR(I48="Missing",I48="Differs"),K48&lt;&gt;"No"),1,0)</f>
      </c>
    </row>
    <row r="49" spans="1:14" x14ac:dyDescent="0.25">
      <c r="A49" s="19">
        <f>IF('Our DOs'!A41="","",'Our DOs'!A41)</f>
      </c>
      <c r="B49" s="19">
        <f>IF(A49="","",'Our DOs'!B41)</f>
      </c>
      <c r="C49" s="19">
        <f>IF(A49="","",'Our DOs'!C41)</f>
      </c>
      <c r="D49" s="19">
        <f>IF(A49="","",'Our DOs'!D41)</f>
      </c>
      <c r="E49" s="22">
        <f>IF(A49="","",'Our DOs'!E41)</f>
      </c>
      <c r="F49" s="22">
        <f>IF(A49="","",'Our DOs'!F41)</f>
      </c>
      <c r="G49" s="22">
        <f>IF(OR(A49="",B49=""),"",IFERROR(INDEX('Their statement'!$D$2:$D$201,MATCH(B49,'Their statement'!$A$2:$A$201,0)),""))</f>
      </c>
      <c r="H49" s="22">
        <f>IF(OR(A49="",B49=""),"",IFERROR(INDEX('Their statement'!$E$2:$E$201,MATCH(B49,'Their statement'!$A$2:$A$201,0)),""))</f>
      </c>
      <c r="I49" s="19">
        <f>IF(A49="","",IF(B49="","No PO yet",IF(ISNUMBER(MATCH(B49,'Their statement'!$A$2:$A$201,0)),IF(AND(ROUND(F49-IF(H49="",0,H49),2)=0,OR(G49="",ROUND(E49-IF(G49="",0,G49),2)=0)),"Matches","Differs"),"Missing")))</f>
      </c>
      <c r="J49" s="22">
        <f>IF(OR(I49="Missing",I49="Differs"),F49-IF(H49="",0,H49),"")</f>
      </c>
      <c r="K49" s="10"/>
      <c r="L49" s="23">
        <f>IF(N49=1,SUM($N$10:N49),"")</f>
      </c>
      <c r="M49" s="24">
        <f>IF(N49=1,"Customer PO "&amp;B49&amp;" · "&amp;C49&amp;" · case "&amp;D49&amp;CHAR(10)&amp;"Sales "&amp;DOLLAR(E49,2)&amp;" · commission "&amp;DOLLAR(F49,2)&amp;CHAR(10)&amp;IF(I49="Missing","Not on your "&amp;Setup!$B$5&amp;" commission statement.","Your statement shows commission "&amp;DOLLAR(IF(H49="",0,H49),2)&amp;" (ours "&amp;DOLLAR(F49,2)&amp;")"&amp;IF(AND(G49&lt;&gt;"",ROUND(E49-IF(G49="",0,G49),2)&lt;&gt;0),"; sales price "&amp;DOLLAR(IF(G49="",0,G49),2)&amp;" (ours "&amp;DOLLAR(E49,2)&amp;")","")&amp;".")&amp;CHAR(10)&amp;IF('Our DOs'!G41&lt;&gt;"","We sent this Delivery Order"&amp;IF('Our DOs'!I41="Yes",", with the hospital's purchase order number,","")&amp;" on "&amp;'Our DOs'!G41&amp;IF('Our DOs'!H41&lt;&gt;""," by "&amp;LOWER('Our DOs'!H41),"")&amp;". The Delivery Order is available on request.","The Delivery Order is available on request."),"")</f>
      </c>
      <c r="N49" s="25">
        <f>IF(AND(OR(I49="Missing",I49="Differs"),K49&lt;&gt;"No"),1,0)</f>
      </c>
    </row>
    <row r="50" spans="1:14" x14ac:dyDescent="0.25">
      <c r="A50" s="19">
        <f>IF('Our DOs'!A42="","",'Our DOs'!A42)</f>
      </c>
      <c r="B50" s="19">
        <f>IF(A50="","",'Our DOs'!B42)</f>
      </c>
      <c r="C50" s="19">
        <f>IF(A50="","",'Our DOs'!C42)</f>
      </c>
      <c r="D50" s="19">
        <f>IF(A50="","",'Our DOs'!D42)</f>
      </c>
      <c r="E50" s="22">
        <f>IF(A50="","",'Our DOs'!E42)</f>
      </c>
      <c r="F50" s="22">
        <f>IF(A50="","",'Our DOs'!F42)</f>
      </c>
      <c r="G50" s="22">
        <f>IF(OR(A50="",B50=""),"",IFERROR(INDEX('Their statement'!$D$2:$D$201,MATCH(B50,'Their statement'!$A$2:$A$201,0)),""))</f>
      </c>
      <c r="H50" s="22">
        <f>IF(OR(A50="",B50=""),"",IFERROR(INDEX('Their statement'!$E$2:$E$201,MATCH(B50,'Their statement'!$A$2:$A$201,0)),""))</f>
      </c>
      <c r="I50" s="19">
        <f>IF(A50="","",IF(B50="","No PO yet",IF(ISNUMBER(MATCH(B50,'Their statement'!$A$2:$A$201,0)),IF(AND(ROUND(F50-IF(H50="",0,H50),2)=0,OR(G50="",ROUND(E50-IF(G50="",0,G50),2)=0)),"Matches","Differs"),"Missing")))</f>
      </c>
      <c r="J50" s="22">
        <f>IF(OR(I50="Missing",I50="Differs"),F50-IF(H50="",0,H50),"")</f>
      </c>
      <c r="K50" s="10"/>
      <c r="L50" s="23">
        <f>IF(N50=1,SUM($N$10:N50),"")</f>
      </c>
      <c r="M50" s="24">
        <f>IF(N50=1,"Customer PO "&amp;B50&amp;" · "&amp;C50&amp;" · case "&amp;D50&amp;CHAR(10)&amp;"Sales "&amp;DOLLAR(E50,2)&amp;" · commission "&amp;DOLLAR(F50,2)&amp;CHAR(10)&amp;IF(I50="Missing","Not on your "&amp;Setup!$B$5&amp;" commission statement.","Your statement shows commission "&amp;DOLLAR(IF(H50="",0,H50),2)&amp;" (ours "&amp;DOLLAR(F50,2)&amp;")"&amp;IF(AND(G50&lt;&gt;"",ROUND(E50-IF(G50="",0,G50),2)&lt;&gt;0),"; sales price "&amp;DOLLAR(IF(G50="",0,G50),2)&amp;" (ours "&amp;DOLLAR(E50,2)&amp;")","")&amp;".")&amp;CHAR(10)&amp;IF('Our DOs'!G42&lt;&gt;"","We sent this Delivery Order"&amp;IF('Our DOs'!I42="Yes",", with the hospital's purchase order number,","")&amp;" on "&amp;'Our DOs'!G42&amp;IF('Our DOs'!H42&lt;&gt;""," by "&amp;LOWER('Our DOs'!H42),"")&amp;". The Delivery Order is available on request.","The Delivery Order is available on request."),"")</f>
      </c>
      <c r="N50" s="25">
        <f>IF(AND(OR(I50="Missing",I50="Differs"),K50&lt;&gt;"No"),1,0)</f>
      </c>
    </row>
    <row r="51" spans="1:14" x14ac:dyDescent="0.25">
      <c r="A51" s="19">
        <f>IF('Our DOs'!A43="","",'Our DOs'!A43)</f>
      </c>
      <c r="B51" s="19">
        <f>IF(A51="","",'Our DOs'!B43)</f>
      </c>
      <c r="C51" s="19">
        <f>IF(A51="","",'Our DOs'!C43)</f>
      </c>
      <c r="D51" s="19">
        <f>IF(A51="","",'Our DOs'!D43)</f>
      </c>
      <c r="E51" s="22">
        <f>IF(A51="","",'Our DOs'!E43)</f>
      </c>
      <c r="F51" s="22">
        <f>IF(A51="","",'Our DOs'!F43)</f>
      </c>
      <c r="G51" s="22">
        <f>IF(OR(A51="",B51=""),"",IFERROR(INDEX('Their statement'!$D$2:$D$201,MATCH(B51,'Their statement'!$A$2:$A$201,0)),""))</f>
      </c>
      <c r="H51" s="22">
        <f>IF(OR(A51="",B51=""),"",IFERROR(INDEX('Their statement'!$E$2:$E$201,MATCH(B51,'Their statement'!$A$2:$A$201,0)),""))</f>
      </c>
      <c r="I51" s="19">
        <f>IF(A51="","",IF(B51="","No PO yet",IF(ISNUMBER(MATCH(B51,'Their statement'!$A$2:$A$201,0)),IF(AND(ROUND(F51-IF(H51="",0,H51),2)=0,OR(G51="",ROUND(E51-IF(G51="",0,G51),2)=0)),"Matches","Differs"),"Missing")))</f>
      </c>
      <c r="J51" s="22">
        <f>IF(OR(I51="Missing",I51="Differs"),F51-IF(H51="",0,H51),"")</f>
      </c>
      <c r="K51" s="10"/>
      <c r="L51" s="23">
        <f>IF(N51=1,SUM($N$10:N51),"")</f>
      </c>
      <c r="M51" s="24">
        <f>IF(N51=1,"Customer PO "&amp;B51&amp;" · "&amp;C51&amp;" · case "&amp;D51&amp;CHAR(10)&amp;"Sales "&amp;DOLLAR(E51,2)&amp;" · commission "&amp;DOLLAR(F51,2)&amp;CHAR(10)&amp;IF(I51="Missing","Not on your "&amp;Setup!$B$5&amp;" commission statement.","Your statement shows commission "&amp;DOLLAR(IF(H51="",0,H51),2)&amp;" (ours "&amp;DOLLAR(F51,2)&amp;")"&amp;IF(AND(G51&lt;&gt;"",ROUND(E51-IF(G51="",0,G51),2)&lt;&gt;0),"; sales price "&amp;DOLLAR(IF(G51="",0,G51),2)&amp;" (ours "&amp;DOLLAR(E51,2)&amp;")","")&amp;".")&amp;CHAR(10)&amp;IF('Our DOs'!G43&lt;&gt;"","We sent this Delivery Order"&amp;IF('Our DOs'!I43="Yes",", with the hospital's purchase order number,","")&amp;" on "&amp;'Our DOs'!G43&amp;IF('Our DOs'!H43&lt;&gt;""," by "&amp;LOWER('Our DOs'!H43),"")&amp;". The Delivery Order is available on request.","The Delivery Order is available on request."),"")</f>
      </c>
      <c r="N51" s="25">
        <f>IF(AND(OR(I51="Missing",I51="Differs"),K51&lt;&gt;"No"),1,0)</f>
      </c>
    </row>
    <row r="52" spans="1:14" x14ac:dyDescent="0.25">
      <c r="A52" s="19">
        <f>IF('Our DOs'!A44="","",'Our DOs'!A44)</f>
      </c>
      <c r="B52" s="19">
        <f>IF(A52="","",'Our DOs'!B44)</f>
      </c>
      <c r="C52" s="19">
        <f>IF(A52="","",'Our DOs'!C44)</f>
      </c>
      <c r="D52" s="19">
        <f>IF(A52="","",'Our DOs'!D44)</f>
      </c>
      <c r="E52" s="22">
        <f>IF(A52="","",'Our DOs'!E44)</f>
      </c>
      <c r="F52" s="22">
        <f>IF(A52="","",'Our DOs'!F44)</f>
      </c>
      <c r="G52" s="22">
        <f>IF(OR(A52="",B52=""),"",IFERROR(INDEX('Their statement'!$D$2:$D$201,MATCH(B52,'Their statement'!$A$2:$A$201,0)),""))</f>
      </c>
      <c r="H52" s="22">
        <f>IF(OR(A52="",B52=""),"",IFERROR(INDEX('Their statement'!$E$2:$E$201,MATCH(B52,'Their statement'!$A$2:$A$201,0)),""))</f>
      </c>
      <c r="I52" s="19">
        <f>IF(A52="","",IF(B52="","No PO yet",IF(ISNUMBER(MATCH(B52,'Their statement'!$A$2:$A$201,0)),IF(AND(ROUND(F52-IF(H52="",0,H52),2)=0,OR(G52="",ROUND(E52-IF(G52="",0,G52),2)=0)),"Matches","Differs"),"Missing")))</f>
      </c>
      <c r="J52" s="22">
        <f>IF(OR(I52="Missing",I52="Differs"),F52-IF(H52="",0,H52),"")</f>
      </c>
      <c r="K52" s="10"/>
      <c r="L52" s="23">
        <f>IF(N52=1,SUM($N$10:N52),"")</f>
      </c>
      <c r="M52" s="24">
        <f>IF(N52=1,"Customer PO "&amp;B52&amp;" · "&amp;C52&amp;" · case "&amp;D52&amp;CHAR(10)&amp;"Sales "&amp;DOLLAR(E52,2)&amp;" · commission "&amp;DOLLAR(F52,2)&amp;CHAR(10)&amp;IF(I52="Missing","Not on your "&amp;Setup!$B$5&amp;" commission statement.","Your statement shows commission "&amp;DOLLAR(IF(H52="",0,H52),2)&amp;" (ours "&amp;DOLLAR(F52,2)&amp;")"&amp;IF(AND(G52&lt;&gt;"",ROUND(E52-IF(G52="",0,G52),2)&lt;&gt;0),"; sales price "&amp;DOLLAR(IF(G52="",0,G52),2)&amp;" (ours "&amp;DOLLAR(E52,2)&amp;")","")&amp;".")&amp;CHAR(10)&amp;IF('Our DOs'!G44&lt;&gt;"","We sent this Delivery Order"&amp;IF('Our DOs'!I44="Yes",", with the hospital's purchase order number,","")&amp;" on "&amp;'Our DOs'!G44&amp;IF('Our DOs'!H44&lt;&gt;""," by "&amp;LOWER('Our DOs'!H44),"")&amp;". The Delivery Order is available on request.","The Delivery Order is available on request."),"")</f>
      </c>
      <c r="N52" s="25">
        <f>IF(AND(OR(I52="Missing",I52="Differs"),K52&lt;&gt;"No"),1,0)</f>
      </c>
    </row>
    <row r="53" spans="1:14" x14ac:dyDescent="0.25">
      <c r="A53" s="19">
        <f>IF('Our DOs'!A45="","",'Our DOs'!A45)</f>
      </c>
      <c r="B53" s="19">
        <f>IF(A53="","",'Our DOs'!B45)</f>
      </c>
      <c r="C53" s="19">
        <f>IF(A53="","",'Our DOs'!C45)</f>
      </c>
      <c r="D53" s="19">
        <f>IF(A53="","",'Our DOs'!D45)</f>
      </c>
      <c r="E53" s="22">
        <f>IF(A53="","",'Our DOs'!E45)</f>
      </c>
      <c r="F53" s="22">
        <f>IF(A53="","",'Our DOs'!F45)</f>
      </c>
      <c r="G53" s="22">
        <f>IF(OR(A53="",B53=""),"",IFERROR(INDEX('Their statement'!$D$2:$D$201,MATCH(B53,'Their statement'!$A$2:$A$201,0)),""))</f>
      </c>
      <c r="H53" s="22">
        <f>IF(OR(A53="",B53=""),"",IFERROR(INDEX('Their statement'!$E$2:$E$201,MATCH(B53,'Their statement'!$A$2:$A$201,0)),""))</f>
      </c>
      <c r="I53" s="19">
        <f>IF(A53="","",IF(B53="","No PO yet",IF(ISNUMBER(MATCH(B53,'Their statement'!$A$2:$A$201,0)),IF(AND(ROUND(F53-IF(H53="",0,H53),2)=0,OR(G53="",ROUND(E53-IF(G53="",0,G53),2)=0)),"Matches","Differs"),"Missing")))</f>
      </c>
      <c r="J53" s="22">
        <f>IF(OR(I53="Missing",I53="Differs"),F53-IF(H53="",0,H53),"")</f>
      </c>
      <c r="K53" s="10"/>
      <c r="L53" s="23">
        <f>IF(N53=1,SUM($N$10:N53),"")</f>
      </c>
      <c r="M53" s="24">
        <f>IF(N53=1,"Customer PO "&amp;B53&amp;" · "&amp;C53&amp;" · case "&amp;D53&amp;CHAR(10)&amp;"Sales "&amp;DOLLAR(E53,2)&amp;" · commission "&amp;DOLLAR(F53,2)&amp;CHAR(10)&amp;IF(I53="Missing","Not on your "&amp;Setup!$B$5&amp;" commission statement.","Your statement shows commission "&amp;DOLLAR(IF(H53="",0,H53),2)&amp;" (ours "&amp;DOLLAR(F53,2)&amp;")"&amp;IF(AND(G53&lt;&gt;"",ROUND(E53-IF(G53="",0,G53),2)&lt;&gt;0),"; sales price "&amp;DOLLAR(IF(G53="",0,G53),2)&amp;" (ours "&amp;DOLLAR(E53,2)&amp;")","")&amp;".")&amp;CHAR(10)&amp;IF('Our DOs'!G45&lt;&gt;"","We sent this Delivery Order"&amp;IF('Our DOs'!I45="Yes",", with the hospital's purchase order number,","")&amp;" on "&amp;'Our DOs'!G45&amp;IF('Our DOs'!H45&lt;&gt;""," by "&amp;LOWER('Our DOs'!H45),"")&amp;". The Delivery Order is available on request.","The Delivery Order is available on request."),"")</f>
      </c>
      <c r="N53" s="25">
        <f>IF(AND(OR(I53="Missing",I53="Differs"),K53&lt;&gt;"No"),1,0)</f>
      </c>
    </row>
    <row r="54" spans="1:14" x14ac:dyDescent="0.25">
      <c r="A54" s="19">
        <f>IF('Our DOs'!A46="","",'Our DOs'!A46)</f>
      </c>
      <c r="B54" s="19">
        <f>IF(A54="","",'Our DOs'!B46)</f>
      </c>
      <c r="C54" s="19">
        <f>IF(A54="","",'Our DOs'!C46)</f>
      </c>
      <c r="D54" s="19">
        <f>IF(A54="","",'Our DOs'!D46)</f>
      </c>
      <c r="E54" s="22">
        <f>IF(A54="","",'Our DOs'!E46)</f>
      </c>
      <c r="F54" s="22">
        <f>IF(A54="","",'Our DOs'!F46)</f>
      </c>
      <c r="G54" s="22">
        <f>IF(OR(A54="",B54=""),"",IFERROR(INDEX('Their statement'!$D$2:$D$201,MATCH(B54,'Their statement'!$A$2:$A$201,0)),""))</f>
      </c>
      <c r="H54" s="22">
        <f>IF(OR(A54="",B54=""),"",IFERROR(INDEX('Their statement'!$E$2:$E$201,MATCH(B54,'Their statement'!$A$2:$A$201,0)),""))</f>
      </c>
      <c r="I54" s="19">
        <f>IF(A54="","",IF(B54="","No PO yet",IF(ISNUMBER(MATCH(B54,'Their statement'!$A$2:$A$201,0)),IF(AND(ROUND(F54-IF(H54="",0,H54),2)=0,OR(G54="",ROUND(E54-IF(G54="",0,G54),2)=0)),"Matches","Differs"),"Missing")))</f>
      </c>
      <c r="J54" s="22">
        <f>IF(OR(I54="Missing",I54="Differs"),F54-IF(H54="",0,H54),"")</f>
      </c>
      <c r="K54" s="10"/>
      <c r="L54" s="23">
        <f>IF(N54=1,SUM($N$10:N54),"")</f>
      </c>
      <c r="M54" s="24">
        <f>IF(N54=1,"Customer PO "&amp;B54&amp;" · "&amp;C54&amp;" · case "&amp;D54&amp;CHAR(10)&amp;"Sales "&amp;DOLLAR(E54,2)&amp;" · commission "&amp;DOLLAR(F54,2)&amp;CHAR(10)&amp;IF(I54="Missing","Not on your "&amp;Setup!$B$5&amp;" commission statement.","Your statement shows commission "&amp;DOLLAR(IF(H54="",0,H54),2)&amp;" (ours "&amp;DOLLAR(F54,2)&amp;")"&amp;IF(AND(G54&lt;&gt;"",ROUND(E54-IF(G54="",0,G54),2)&lt;&gt;0),"; sales price "&amp;DOLLAR(IF(G54="",0,G54),2)&amp;" (ours "&amp;DOLLAR(E54,2)&amp;")","")&amp;".")&amp;CHAR(10)&amp;IF('Our DOs'!G46&lt;&gt;"","We sent this Delivery Order"&amp;IF('Our DOs'!I46="Yes",", with the hospital's purchase order number,","")&amp;" on "&amp;'Our DOs'!G46&amp;IF('Our DOs'!H46&lt;&gt;""," by "&amp;LOWER('Our DOs'!H46),"")&amp;". The Delivery Order is available on request.","The Delivery Order is available on request."),"")</f>
      </c>
      <c r="N54" s="25">
        <f>IF(AND(OR(I54="Missing",I54="Differs"),K54&lt;&gt;"No"),1,0)</f>
      </c>
    </row>
    <row r="55" spans="1:14" x14ac:dyDescent="0.25">
      <c r="A55" s="19">
        <f>IF('Our DOs'!A47="","",'Our DOs'!A47)</f>
      </c>
      <c r="B55" s="19">
        <f>IF(A55="","",'Our DOs'!B47)</f>
      </c>
      <c r="C55" s="19">
        <f>IF(A55="","",'Our DOs'!C47)</f>
      </c>
      <c r="D55" s="19">
        <f>IF(A55="","",'Our DOs'!D47)</f>
      </c>
      <c r="E55" s="22">
        <f>IF(A55="","",'Our DOs'!E47)</f>
      </c>
      <c r="F55" s="22">
        <f>IF(A55="","",'Our DOs'!F47)</f>
      </c>
      <c r="G55" s="22">
        <f>IF(OR(A55="",B55=""),"",IFERROR(INDEX('Their statement'!$D$2:$D$201,MATCH(B55,'Their statement'!$A$2:$A$201,0)),""))</f>
      </c>
      <c r="H55" s="22">
        <f>IF(OR(A55="",B55=""),"",IFERROR(INDEX('Their statement'!$E$2:$E$201,MATCH(B55,'Their statement'!$A$2:$A$201,0)),""))</f>
      </c>
      <c r="I55" s="19">
        <f>IF(A55="","",IF(B55="","No PO yet",IF(ISNUMBER(MATCH(B55,'Their statement'!$A$2:$A$201,0)),IF(AND(ROUND(F55-IF(H55="",0,H55),2)=0,OR(G55="",ROUND(E55-IF(G55="",0,G55),2)=0)),"Matches","Differs"),"Missing")))</f>
      </c>
      <c r="J55" s="22">
        <f>IF(OR(I55="Missing",I55="Differs"),F55-IF(H55="",0,H55),"")</f>
      </c>
      <c r="K55" s="10"/>
      <c r="L55" s="23">
        <f>IF(N55=1,SUM($N$10:N55),"")</f>
      </c>
      <c r="M55" s="24">
        <f>IF(N55=1,"Customer PO "&amp;B55&amp;" · "&amp;C55&amp;" · case "&amp;D55&amp;CHAR(10)&amp;"Sales "&amp;DOLLAR(E55,2)&amp;" · commission "&amp;DOLLAR(F55,2)&amp;CHAR(10)&amp;IF(I55="Missing","Not on your "&amp;Setup!$B$5&amp;" commission statement.","Your statement shows commission "&amp;DOLLAR(IF(H55="",0,H55),2)&amp;" (ours "&amp;DOLLAR(F55,2)&amp;")"&amp;IF(AND(G55&lt;&gt;"",ROUND(E55-IF(G55="",0,G55),2)&lt;&gt;0),"; sales price "&amp;DOLLAR(IF(G55="",0,G55),2)&amp;" (ours "&amp;DOLLAR(E55,2)&amp;")","")&amp;".")&amp;CHAR(10)&amp;IF('Our DOs'!G47&lt;&gt;"","We sent this Delivery Order"&amp;IF('Our DOs'!I47="Yes",", with the hospital's purchase order number,","")&amp;" on "&amp;'Our DOs'!G47&amp;IF('Our DOs'!H47&lt;&gt;""," by "&amp;LOWER('Our DOs'!H47),"")&amp;". The Delivery Order is available on request.","The Delivery Order is available on request."),"")</f>
      </c>
      <c r="N55" s="25">
        <f>IF(AND(OR(I55="Missing",I55="Differs"),K55&lt;&gt;"No"),1,0)</f>
      </c>
    </row>
    <row r="56" spans="1:14" x14ac:dyDescent="0.25">
      <c r="A56" s="19">
        <f>IF('Our DOs'!A48="","",'Our DOs'!A48)</f>
      </c>
      <c r="B56" s="19">
        <f>IF(A56="","",'Our DOs'!B48)</f>
      </c>
      <c r="C56" s="19">
        <f>IF(A56="","",'Our DOs'!C48)</f>
      </c>
      <c r="D56" s="19">
        <f>IF(A56="","",'Our DOs'!D48)</f>
      </c>
      <c r="E56" s="22">
        <f>IF(A56="","",'Our DOs'!E48)</f>
      </c>
      <c r="F56" s="22">
        <f>IF(A56="","",'Our DOs'!F48)</f>
      </c>
      <c r="G56" s="22">
        <f>IF(OR(A56="",B56=""),"",IFERROR(INDEX('Their statement'!$D$2:$D$201,MATCH(B56,'Their statement'!$A$2:$A$201,0)),""))</f>
      </c>
      <c r="H56" s="22">
        <f>IF(OR(A56="",B56=""),"",IFERROR(INDEX('Their statement'!$E$2:$E$201,MATCH(B56,'Their statement'!$A$2:$A$201,0)),""))</f>
      </c>
      <c r="I56" s="19">
        <f>IF(A56="","",IF(B56="","No PO yet",IF(ISNUMBER(MATCH(B56,'Their statement'!$A$2:$A$201,0)),IF(AND(ROUND(F56-IF(H56="",0,H56),2)=0,OR(G56="",ROUND(E56-IF(G56="",0,G56),2)=0)),"Matches","Differs"),"Missing")))</f>
      </c>
      <c r="J56" s="22">
        <f>IF(OR(I56="Missing",I56="Differs"),F56-IF(H56="",0,H56),"")</f>
      </c>
      <c r="K56" s="10"/>
      <c r="L56" s="23">
        <f>IF(N56=1,SUM($N$10:N56),"")</f>
      </c>
      <c r="M56" s="24">
        <f>IF(N56=1,"Customer PO "&amp;B56&amp;" · "&amp;C56&amp;" · case "&amp;D56&amp;CHAR(10)&amp;"Sales "&amp;DOLLAR(E56,2)&amp;" · commission "&amp;DOLLAR(F56,2)&amp;CHAR(10)&amp;IF(I56="Missing","Not on your "&amp;Setup!$B$5&amp;" commission statement.","Your statement shows commission "&amp;DOLLAR(IF(H56="",0,H56),2)&amp;" (ours "&amp;DOLLAR(F56,2)&amp;")"&amp;IF(AND(G56&lt;&gt;"",ROUND(E56-IF(G56="",0,G56),2)&lt;&gt;0),"; sales price "&amp;DOLLAR(IF(G56="",0,G56),2)&amp;" (ours "&amp;DOLLAR(E56,2)&amp;")","")&amp;".")&amp;CHAR(10)&amp;IF('Our DOs'!G48&lt;&gt;"","We sent this Delivery Order"&amp;IF('Our DOs'!I48="Yes",", with the hospital's purchase order number,","")&amp;" on "&amp;'Our DOs'!G48&amp;IF('Our DOs'!H48&lt;&gt;""," by "&amp;LOWER('Our DOs'!H48),"")&amp;". The Delivery Order is available on request.","The Delivery Order is available on request."),"")</f>
      </c>
      <c r="N56" s="25">
        <f>IF(AND(OR(I56="Missing",I56="Differs"),K56&lt;&gt;"No"),1,0)</f>
      </c>
    </row>
    <row r="57" spans="1:14" x14ac:dyDescent="0.25">
      <c r="A57" s="19">
        <f>IF('Our DOs'!A49="","",'Our DOs'!A49)</f>
      </c>
      <c r="B57" s="19">
        <f>IF(A57="","",'Our DOs'!B49)</f>
      </c>
      <c r="C57" s="19">
        <f>IF(A57="","",'Our DOs'!C49)</f>
      </c>
      <c r="D57" s="19">
        <f>IF(A57="","",'Our DOs'!D49)</f>
      </c>
      <c r="E57" s="22">
        <f>IF(A57="","",'Our DOs'!E49)</f>
      </c>
      <c r="F57" s="22">
        <f>IF(A57="","",'Our DOs'!F49)</f>
      </c>
      <c r="G57" s="22">
        <f>IF(OR(A57="",B57=""),"",IFERROR(INDEX('Their statement'!$D$2:$D$201,MATCH(B57,'Their statement'!$A$2:$A$201,0)),""))</f>
      </c>
      <c r="H57" s="22">
        <f>IF(OR(A57="",B57=""),"",IFERROR(INDEX('Their statement'!$E$2:$E$201,MATCH(B57,'Their statement'!$A$2:$A$201,0)),""))</f>
      </c>
      <c r="I57" s="19">
        <f>IF(A57="","",IF(B57="","No PO yet",IF(ISNUMBER(MATCH(B57,'Their statement'!$A$2:$A$201,0)),IF(AND(ROUND(F57-IF(H57="",0,H57),2)=0,OR(G57="",ROUND(E57-IF(G57="",0,G57),2)=0)),"Matches","Differs"),"Missing")))</f>
      </c>
      <c r="J57" s="22">
        <f>IF(OR(I57="Missing",I57="Differs"),F57-IF(H57="",0,H57),"")</f>
      </c>
      <c r="K57" s="10"/>
      <c r="L57" s="23">
        <f>IF(N57=1,SUM($N$10:N57),"")</f>
      </c>
      <c r="M57" s="24">
        <f>IF(N57=1,"Customer PO "&amp;B57&amp;" · "&amp;C57&amp;" · case "&amp;D57&amp;CHAR(10)&amp;"Sales "&amp;DOLLAR(E57,2)&amp;" · commission "&amp;DOLLAR(F57,2)&amp;CHAR(10)&amp;IF(I57="Missing","Not on your "&amp;Setup!$B$5&amp;" commission statement.","Your statement shows commission "&amp;DOLLAR(IF(H57="",0,H57),2)&amp;" (ours "&amp;DOLLAR(F57,2)&amp;")"&amp;IF(AND(G57&lt;&gt;"",ROUND(E57-IF(G57="",0,G57),2)&lt;&gt;0),"; sales price "&amp;DOLLAR(IF(G57="",0,G57),2)&amp;" (ours "&amp;DOLLAR(E57,2)&amp;")","")&amp;".")&amp;CHAR(10)&amp;IF('Our DOs'!G49&lt;&gt;"","We sent this Delivery Order"&amp;IF('Our DOs'!I49="Yes",", with the hospital's purchase order number,","")&amp;" on "&amp;'Our DOs'!G49&amp;IF('Our DOs'!H49&lt;&gt;""," by "&amp;LOWER('Our DOs'!H49),"")&amp;". The Delivery Order is available on request.","The Delivery Order is available on request."),"")</f>
      </c>
      <c r="N57" s="25">
        <f>IF(AND(OR(I57="Missing",I57="Differs"),K57&lt;&gt;"No"),1,0)</f>
      </c>
    </row>
    <row r="58" spans="1:14" x14ac:dyDescent="0.25">
      <c r="A58" s="19">
        <f>IF('Our DOs'!A50="","",'Our DOs'!A50)</f>
      </c>
      <c r="B58" s="19">
        <f>IF(A58="","",'Our DOs'!B50)</f>
      </c>
      <c r="C58" s="19">
        <f>IF(A58="","",'Our DOs'!C50)</f>
      </c>
      <c r="D58" s="19">
        <f>IF(A58="","",'Our DOs'!D50)</f>
      </c>
      <c r="E58" s="22">
        <f>IF(A58="","",'Our DOs'!E50)</f>
      </c>
      <c r="F58" s="22">
        <f>IF(A58="","",'Our DOs'!F50)</f>
      </c>
      <c r="G58" s="22">
        <f>IF(OR(A58="",B58=""),"",IFERROR(INDEX('Their statement'!$D$2:$D$201,MATCH(B58,'Their statement'!$A$2:$A$201,0)),""))</f>
      </c>
      <c r="H58" s="22">
        <f>IF(OR(A58="",B58=""),"",IFERROR(INDEX('Their statement'!$E$2:$E$201,MATCH(B58,'Their statement'!$A$2:$A$201,0)),""))</f>
      </c>
      <c r="I58" s="19">
        <f>IF(A58="","",IF(B58="","No PO yet",IF(ISNUMBER(MATCH(B58,'Their statement'!$A$2:$A$201,0)),IF(AND(ROUND(F58-IF(H58="",0,H58),2)=0,OR(G58="",ROUND(E58-IF(G58="",0,G58),2)=0)),"Matches","Differs"),"Missing")))</f>
      </c>
      <c r="J58" s="22">
        <f>IF(OR(I58="Missing",I58="Differs"),F58-IF(H58="",0,H58),"")</f>
      </c>
      <c r="K58" s="10"/>
      <c r="L58" s="23">
        <f>IF(N58=1,SUM($N$10:N58),"")</f>
      </c>
      <c r="M58" s="24">
        <f>IF(N58=1,"Customer PO "&amp;B58&amp;" · "&amp;C58&amp;" · case "&amp;D58&amp;CHAR(10)&amp;"Sales "&amp;DOLLAR(E58,2)&amp;" · commission "&amp;DOLLAR(F58,2)&amp;CHAR(10)&amp;IF(I58="Missing","Not on your "&amp;Setup!$B$5&amp;" commission statement.","Your statement shows commission "&amp;DOLLAR(IF(H58="",0,H58),2)&amp;" (ours "&amp;DOLLAR(F58,2)&amp;")"&amp;IF(AND(G58&lt;&gt;"",ROUND(E58-IF(G58="",0,G58),2)&lt;&gt;0),"; sales price "&amp;DOLLAR(IF(G58="",0,G58),2)&amp;" (ours "&amp;DOLLAR(E58,2)&amp;")","")&amp;".")&amp;CHAR(10)&amp;IF('Our DOs'!G50&lt;&gt;"","We sent this Delivery Order"&amp;IF('Our DOs'!I50="Yes",", with the hospital's purchase order number,","")&amp;" on "&amp;'Our DOs'!G50&amp;IF('Our DOs'!H50&lt;&gt;""," by "&amp;LOWER('Our DOs'!H50),"")&amp;". The Delivery Order is available on request.","The Delivery Order is available on request."),"")</f>
      </c>
      <c r="N58" s="25">
        <f>IF(AND(OR(I58="Missing",I58="Differs"),K58&lt;&gt;"No"),1,0)</f>
      </c>
    </row>
    <row r="59" spans="1:14" x14ac:dyDescent="0.25">
      <c r="A59" s="19">
        <f>IF('Our DOs'!A51="","",'Our DOs'!A51)</f>
      </c>
      <c r="B59" s="19">
        <f>IF(A59="","",'Our DOs'!B51)</f>
      </c>
      <c r="C59" s="19">
        <f>IF(A59="","",'Our DOs'!C51)</f>
      </c>
      <c r="D59" s="19">
        <f>IF(A59="","",'Our DOs'!D51)</f>
      </c>
      <c r="E59" s="22">
        <f>IF(A59="","",'Our DOs'!E51)</f>
      </c>
      <c r="F59" s="22">
        <f>IF(A59="","",'Our DOs'!F51)</f>
      </c>
      <c r="G59" s="22">
        <f>IF(OR(A59="",B59=""),"",IFERROR(INDEX('Their statement'!$D$2:$D$201,MATCH(B59,'Their statement'!$A$2:$A$201,0)),""))</f>
      </c>
      <c r="H59" s="22">
        <f>IF(OR(A59="",B59=""),"",IFERROR(INDEX('Their statement'!$E$2:$E$201,MATCH(B59,'Their statement'!$A$2:$A$201,0)),""))</f>
      </c>
      <c r="I59" s="19">
        <f>IF(A59="","",IF(B59="","No PO yet",IF(ISNUMBER(MATCH(B59,'Their statement'!$A$2:$A$201,0)),IF(AND(ROUND(F59-IF(H59="",0,H59),2)=0,OR(G59="",ROUND(E59-IF(G59="",0,G59),2)=0)),"Matches","Differs"),"Missing")))</f>
      </c>
      <c r="J59" s="22">
        <f>IF(OR(I59="Missing",I59="Differs"),F59-IF(H59="",0,H59),"")</f>
      </c>
      <c r="K59" s="10"/>
      <c r="L59" s="23">
        <f>IF(N59=1,SUM($N$10:N59),"")</f>
      </c>
      <c r="M59" s="24">
        <f>IF(N59=1,"Customer PO "&amp;B59&amp;" · "&amp;C59&amp;" · case "&amp;D59&amp;CHAR(10)&amp;"Sales "&amp;DOLLAR(E59,2)&amp;" · commission "&amp;DOLLAR(F59,2)&amp;CHAR(10)&amp;IF(I59="Missing","Not on your "&amp;Setup!$B$5&amp;" commission statement.","Your statement shows commission "&amp;DOLLAR(IF(H59="",0,H59),2)&amp;" (ours "&amp;DOLLAR(F59,2)&amp;")"&amp;IF(AND(G59&lt;&gt;"",ROUND(E59-IF(G59="",0,G59),2)&lt;&gt;0),"; sales price "&amp;DOLLAR(IF(G59="",0,G59),2)&amp;" (ours "&amp;DOLLAR(E59,2)&amp;")","")&amp;".")&amp;CHAR(10)&amp;IF('Our DOs'!G51&lt;&gt;"","We sent this Delivery Order"&amp;IF('Our DOs'!I51="Yes",", with the hospital's purchase order number,","")&amp;" on "&amp;'Our DOs'!G51&amp;IF('Our DOs'!H51&lt;&gt;""," by "&amp;LOWER('Our DOs'!H51),"")&amp;". The Delivery Order is available on request.","The Delivery Order is available on request."),"")</f>
      </c>
      <c r="N59" s="25">
        <f>IF(AND(OR(I59="Missing",I59="Differs"),K59&lt;&gt;"No"),1,0)</f>
      </c>
    </row>
    <row r="60" spans="1:14" x14ac:dyDescent="0.25">
      <c r="A60" s="19">
        <f>IF('Our DOs'!A52="","",'Our DOs'!A52)</f>
      </c>
      <c r="B60" s="19">
        <f>IF(A60="","",'Our DOs'!B52)</f>
      </c>
      <c r="C60" s="19">
        <f>IF(A60="","",'Our DOs'!C52)</f>
      </c>
      <c r="D60" s="19">
        <f>IF(A60="","",'Our DOs'!D52)</f>
      </c>
      <c r="E60" s="22">
        <f>IF(A60="","",'Our DOs'!E52)</f>
      </c>
      <c r="F60" s="22">
        <f>IF(A60="","",'Our DOs'!F52)</f>
      </c>
      <c r="G60" s="22">
        <f>IF(OR(A60="",B60=""),"",IFERROR(INDEX('Their statement'!$D$2:$D$201,MATCH(B60,'Their statement'!$A$2:$A$201,0)),""))</f>
      </c>
      <c r="H60" s="22">
        <f>IF(OR(A60="",B60=""),"",IFERROR(INDEX('Their statement'!$E$2:$E$201,MATCH(B60,'Their statement'!$A$2:$A$201,0)),""))</f>
      </c>
      <c r="I60" s="19">
        <f>IF(A60="","",IF(B60="","No PO yet",IF(ISNUMBER(MATCH(B60,'Their statement'!$A$2:$A$201,0)),IF(AND(ROUND(F60-IF(H60="",0,H60),2)=0,OR(G60="",ROUND(E60-IF(G60="",0,G60),2)=0)),"Matches","Differs"),"Missing")))</f>
      </c>
      <c r="J60" s="22">
        <f>IF(OR(I60="Missing",I60="Differs"),F60-IF(H60="",0,H60),"")</f>
      </c>
      <c r="K60" s="10"/>
      <c r="L60" s="23">
        <f>IF(N60=1,SUM($N$10:N60),"")</f>
      </c>
      <c r="M60" s="24">
        <f>IF(N60=1,"Customer PO "&amp;B60&amp;" · "&amp;C60&amp;" · case "&amp;D60&amp;CHAR(10)&amp;"Sales "&amp;DOLLAR(E60,2)&amp;" · commission "&amp;DOLLAR(F60,2)&amp;CHAR(10)&amp;IF(I60="Missing","Not on your "&amp;Setup!$B$5&amp;" commission statement.","Your statement shows commission "&amp;DOLLAR(IF(H60="",0,H60),2)&amp;" (ours "&amp;DOLLAR(F60,2)&amp;")"&amp;IF(AND(G60&lt;&gt;"",ROUND(E60-IF(G60="",0,G60),2)&lt;&gt;0),"; sales price "&amp;DOLLAR(IF(G60="",0,G60),2)&amp;" (ours "&amp;DOLLAR(E60,2)&amp;")","")&amp;".")&amp;CHAR(10)&amp;IF('Our DOs'!G52&lt;&gt;"","We sent this Delivery Order"&amp;IF('Our DOs'!I52="Yes",", with the hospital's purchase order number,","")&amp;" on "&amp;'Our DOs'!G52&amp;IF('Our DOs'!H52&lt;&gt;""," by "&amp;LOWER('Our DOs'!H52),"")&amp;". The Delivery Order is available on request.","The Delivery Order is available on request."),"")</f>
      </c>
      <c r="N60" s="25">
        <f>IF(AND(OR(I60="Missing",I60="Differs"),K60&lt;&gt;"No"),1,0)</f>
      </c>
    </row>
    <row r="61" spans="1:14" x14ac:dyDescent="0.25">
      <c r="A61" s="19">
        <f>IF('Our DOs'!A53="","",'Our DOs'!A53)</f>
      </c>
      <c r="B61" s="19">
        <f>IF(A61="","",'Our DOs'!B53)</f>
      </c>
      <c r="C61" s="19">
        <f>IF(A61="","",'Our DOs'!C53)</f>
      </c>
      <c r="D61" s="19">
        <f>IF(A61="","",'Our DOs'!D53)</f>
      </c>
      <c r="E61" s="22">
        <f>IF(A61="","",'Our DOs'!E53)</f>
      </c>
      <c r="F61" s="22">
        <f>IF(A61="","",'Our DOs'!F53)</f>
      </c>
      <c r="G61" s="22">
        <f>IF(OR(A61="",B61=""),"",IFERROR(INDEX('Their statement'!$D$2:$D$201,MATCH(B61,'Their statement'!$A$2:$A$201,0)),""))</f>
      </c>
      <c r="H61" s="22">
        <f>IF(OR(A61="",B61=""),"",IFERROR(INDEX('Their statement'!$E$2:$E$201,MATCH(B61,'Their statement'!$A$2:$A$201,0)),""))</f>
      </c>
      <c r="I61" s="19">
        <f>IF(A61="","",IF(B61="","No PO yet",IF(ISNUMBER(MATCH(B61,'Their statement'!$A$2:$A$201,0)),IF(AND(ROUND(F61-IF(H61="",0,H61),2)=0,OR(G61="",ROUND(E61-IF(G61="",0,G61),2)=0)),"Matches","Differs"),"Missing")))</f>
      </c>
      <c r="J61" s="22">
        <f>IF(OR(I61="Missing",I61="Differs"),F61-IF(H61="",0,H61),"")</f>
      </c>
      <c r="K61" s="10"/>
      <c r="L61" s="23">
        <f>IF(N61=1,SUM($N$10:N61),"")</f>
      </c>
      <c r="M61" s="24">
        <f>IF(N61=1,"Customer PO "&amp;B61&amp;" · "&amp;C61&amp;" · case "&amp;D61&amp;CHAR(10)&amp;"Sales "&amp;DOLLAR(E61,2)&amp;" · commission "&amp;DOLLAR(F61,2)&amp;CHAR(10)&amp;IF(I61="Missing","Not on your "&amp;Setup!$B$5&amp;" commission statement.","Your statement shows commission "&amp;DOLLAR(IF(H61="",0,H61),2)&amp;" (ours "&amp;DOLLAR(F61,2)&amp;")"&amp;IF(AND(G61&lt;&gt;"",ROUND(E61-IF(G61="",0,G61),2)&lt;&gt;0),"; sales price "&amp;DOLLAR(IF(G61="",0,G61),2)&amp;" (ours "&amp;DOLLAR(E61,2)&amp;")","")&amp;".")&amp;CHAR(10)&amp;IF('Our DOs'!G53&lt;&gt;"","We sent this Delivery Order"&amp;IF('Our DOs'!I53="Yes",", with the hospital's purchase order number,","")&amp;" on "&amp;'Our DOs'!G53&amp;IF('Our DOs'!H53&lt;&gt;""," by "&amp;LOWER('Our DOs'!H53),"")&amp;". The Delivery Order is available on request.","The Delivery Order is available on request."),"")</f>
      </c>
      <c r="N61" s="25">
        <f>IF(AND(OR(I61="Missing",I61="Differs"),K61&lt;&gt;"No"),1,0)</f>
      </c>
    </row>
    <row r="62" spans="1:14" x14ac:dyDescent="0.25">
      <c r="A62" s="19">
        <f>IF('Our DOs'!A54="","",'Our DOs'!A54)</f>
      </c>
      <c r="B62" s="19">
        <f>IF(A62="","",'Our DOs'!B54)</f>
      </c>
      <c r="C62" s="19">
        <f>IF(A62="","",'Our DOs'!C54)</f>
      </c>
      <c r="D62" s="19">
        <f>IF(A62="","",'Our DOs'!D54)</f>
      </c>
      <c r="E62" s="22">
        <f>IF(A62="","",'Our DOs'!E54)</f>
      </c>
      <c r="F62" s="22">
        <f>IF(A62="","",'Our DOs'!F54)</f>
      </c>
      <c r="G62" s="22">
        <f>IF(OR(A62="",B62=""),"",IFERROR(INDEX('Their statement'!$D$2:$D$201,MATCH(B62,'Their statement'!$A$2:$A$201,0)),""))</f>
      </c>
      <c r="H62" s="22">
        <f>IF(OR(A62="",B62=""),"",IFERROR(INDEX('Their statement'!$E$2:$E$201,MATCH(B62,'Their statement'!$A$2:$A$201,0)),""))</f>
      </c>
      <c r="I62" s="19">
        <f>IF(A62="","",IF(B62="","No PO yet",IF(ISNUMBER(MATCH(B62,'Their statement'!$A$2:$A$201,0)),IF(AND(ROUND(F62-IF(H62="",0,H62),2)=0,OR(G62="",ROUND(E62-IF(G62="",0,G62),2)=0)),"Matches","Differs"),"Missing")))</f>
      </c>
      <c r="J62" s="22">
        <f>IF(OR(I62="Missing",I62="Differs"),F62-IF(H62="",0,H62),"")</f>
      </c>
      <c r="K62" s="10"/>
      <c r="L62" s="23">
        <f>IF(N62=1,SUM($N$10:N62),"")</f>
      </c>
      <c r="M62" s="24">
        <f>IF(N62=1,"Customer PO "&amp;B62&amp;" · "&amp;C62&amp;" · case "&amp;D62&amp;CHAR(10)&amp;"Sales "&amp;DOLLAR(E62,2)&amp;" · commission "&amp;DOLLAR(F62,2)&amp;CHAR(10)&amp;IF(I62="Missing","Not on your "&amp;Setup!$B$5&amp;" commission statement.","Your statement shows commission "&amp;DOLLAR(IF(H62="",0,H62),2)&amp;" (ours "&amp;DOLLAR(F62,2)&amp;")"&amp;IF(AND(G62&lt;&gt;"",ROUND(E62-IF(G62="",0,G62),2)&lt;&gt;0),"; sales price "&amp;DOLLAR(IF(G62="",0,G62),2)&amp;" (ours "&amp;DOLLAR(E62,2)&amp;")","")&amp;".")&amp;CHAR(10)&amp;IF('Our DOs'!G54&lt;&gt;"","We sent this Delivery Order"&amp;IF('Our DOs'!I54="Yes",", with the hospital's purchase order number,","")&amp;" on "&amp;'Our DOs'!G54&amp;IF('Our DOs'!H54&lt;&gt;""," by "&amp;LOWER('Our DOs'!H54),"")&amp;". The Delivery Order is available on request.","The Delivery Order is available on request."),"")</f>
      </c>
      <c r="N62" s="25">
        <f>IF(AND(OR(I62="Missing",I62="Differs"),K62&lt;&gt;"No"),1,0)</f>
      </c>
    </row>
    <row r="63" spans="1:14" x14ac:dyDescent="0.25">
      <c r="A63" s="19">
        <f>IF('Our DOs'!A55="","",'Our DOs'!A55)</f>
      </c>
      <c r="B63" s="19">
        <f>IF(A63="","",'Our DOs'!B55)</f>
      </c>
      <c r="C63" s="19">
        <f>IF(A63="","",'Our DOs'!C55)</f>
      </c>
      <c r="D63" s="19">
        <f>IF(A63="","",'Our DOs'!D55)</f>
      </c>
      <c r="E63" s="22">
        <f>IF(A63="","",'Our DOs'!E55)</f>
      </c>
      <c r="F63" s="22">
        <f>IF(A63="","",'Our DOs'!F55)</f>
      </c>
      <c r="G63" s="22">
        <f>IF(OR(A63="",B63=""),"",IFERROR(INDEX('Their statement'!$D$2:$D$201,MATCH(B63,'Their statement'!$A$2:$A$201,0)),""))</f>
      </c>
      <c r="H63" s="22">
        <f>IF(OR(A63="",B63=""),"",IFERROR(INDEX('Their statement'!$E$2:$E$201,MATCH(B63,'Their statement'!$A$2:$A$201,0)),""))</f>
      </c>
      <c r="I63" s="19">
        <f>IF(A63="","",IF(B63="","No PO yet",IF(ISNUMBER(MATCH(B63,'Their statement'!$A$2:$A$201,0)),IF(AND(ROUND(F63-IF(H63="",0,H63),2)=0,OR(G63="",ROUND(E63-IF(G63="",0,G63),2)=0)),"Matches","Differs"),"Missing")))</f>
      </c>
      <c r="J63" s="22">
        <f>IF(OR(I63="Missing",I63="Differs"),F63-IF(H63="",0,H63),"")</f>
      </c>
      <c r="K63" s="10"/>
      <c r="L63" s="23">
        <f>IF(N63=1,SUM($N$10:N63),"")</f>
      </c>
      <c r="M63" s="24">
        <f>IF(N63=1,"Customer PO "&amp;B63&amp;" · "&amp;C63&amp;" · case "&amp;D63&amp;CHAR(10)&amp;"Sales "&amp;DOLLAR(E63,2)&amp;" · commission "&amp;DOLLAR(F63,2)&amp;CHAR(10)&amp;IF(I63="Missing","Not on your "&amp;Setup!$B$5&amp;" commission statement.","Your statement shows commission "&amp;DOLLAR(IF(H63="",0,H63),2)&amp;" (ours "&amp;DOLLAR(F63,2)&amp;")"&amp;IF(AND(G63&lt;&gt;"",ROUND(E63-IF(G63="",0,G63),2)&lt;&gt;0),"; sales price "&amp;DOLLAR(IF(G63="",0,G63),2)&amp;" (ours "&amp;DOLLAR(E63,2)&amp;")","")&amp;".")&amp;CHAR(10)&amp;IF('Our DOs'!G55&lt;&gt;"","We sent this Delivery Order"&amp;IF('Our DOs'!I55="Yes",", with the hospital's purchase order number,","")&amp;" on "&amp;'Our DOs'!G55&amp;IF('Our DOs'!H55&lt;&gt;""," by "&amp;LOWER('Our DOs'!H55),"")&amp;". The Delivery Order is available on request.","The Delivery Order is available on request."),"")</f>
      </c>
      <c r="N63" s="25">
        <f>IF(AND(OR(I63="Missing",I63="Differs"),K63&lt;&gt;"No"),1,0)</f>
      </c>
    </row>
    <row r="64" spans="1:14" x14ac:dyDescent="0.25">
      <c r="A64" s="19">
        <f>IF('Our DOs'!A56="","",'Our DOs'!A56)</f>
      </c>
      <c r="B64" s="19">
        <f>IF(A64="","",'Our DOs'!B56)</f>
      </c>
      <c r="C64" s="19">
        <f>IF(A64="","",'Our DOs'!C56)</f>
      </c>
      <c r="D64" s="19">
        <f>IF(A64="","",'Our DOs'!D56)</f>
      </c>
      <c r="E64" s="22">
        <f>IF(A64="","",'Our DOs'!E56)</f>
      </c>
      <c r="F64" s="22">
        <f>IF(A64="","",'Our DOs'!F56)</f>
      </c>
      <c r="G64" s="22">
        <f>IF(OR(A64="",B64=""),"",IFERROR(INDEX('Their statement'!$D$2:$D$201,MATCH(B64,'Their statement'!$A$2:$A$201,0)),""))</f>
      </c>
      <c r="H64" s="22">
        <f>IF(OR(A64="",B64=""),"",IFERROR(INDEX('Their statement'!$E$2:$E$201,MATCH(B64,'Their statement'!$A$2:$A$201,0)),""))</f>
      </c>
      <c r="I64" s="19">
        <f>IF(A64="","",IF(B64="","No PO yet",IF(ISNUMBER(MATCH(B64,'Their statement'!$A$2:$A$201,0)),IF(AND(ROUND(F64-IF(H64="",0,H64),2)=0,OR(G64="",ROUND(E64-IF(G64="",0,G64),2)=0)),"Matches","Differs"),"Missing")))</f>
      </c>
      <c r="J64" s="22">
        <f>IF(OR(I64="Missing",I64="Differs"),F64-IF(H64="",0,H64),"")</f>
      </c>
      <c r="K64" s="10"/>
      <c r="L64" s="23">
        <f>IF(N64=1,SUM($N$10:N64),"")</f>
      </c>
      <c r="M64" s="24">
        <f>IF(N64=1,"Customer PO "&amp;B64&amp;" · "&amp;C64&amp;" · case "&amp;D64&amp;CHAR(10)&amp;"Sales "&amp;DOLLAR(E64,2)&amp;" · commission "&amp;DOLLAR(F64,2)&amp;CHAR(10)&amp;IF(I64="Missing","Not on your "&amp;Setup!$B$5&amp;" commission statement.","Your statement shows commission "&amp;DOLLAR(IF(H64="",0,H64),2)&amp;" (ours "&amp;DOLLAR(F64,2)&amp;")"&amp;IF(AND(G64&lt;&gt;"",ROUND(E64-IF(G64="",0,G64),2)&lt;&gt;0),"; sales price "&amp;DOLLAR(IF(G64="",0,G64),2)&amp;" (ours "&amp;DOLLAR(E64,2)&amp;")","")&amp;".")&amp;CHAR(10)&amp;IF('Our DOs'!G56&lt;&gt;"","We sent this Delivery Order"&amp;IF('Our DOs'!I56="Yes",", with the hospital's purchase order number,","")&amp;" on "&amp;'Our DOs'!G56&amp;IF('Our DOs'!H56&lt;&gt;""," by "&amp;LOWER('Our DOs'!H56),"")&amp;". The Delivery Order is available on request.","The Delivery Order is available on request."),"")</f>
      </c>
      <c r="N64" s="25">
        <f>IF(AND(OR(I64="Missing",I64="Differs"),K64&lt;&gt;"No"),1,0)</f>
      </c>
    </row>
    <row r="65" spans="1:14" x14ac:dyDescent="0.25">
      <c r="A65" s="19">
        <f>IF('Our DOs'!A57="","",'Our DOs'!A57)</f>
      </c>
      <c r="B65" s="19">
        <f>IF(A65="","",'Our DOs'!B57)</f>
      </c>
      <c r="C65" s="19">
        <f>IF(A65="","",'Our DOs'!C57)</f>
      </c>
      <c r="D65" s="19">
        <f>IF(A65="","",'Our DOs'!D57)</f>
      </c>
      <c r="E65" s="22">
        <f>IF(A65="","",'Our DOs'!E57)</f>
      </c>
      <c r="F65" s="22">
        <f>IF(A65="","",'Our DOs'!F57)</f>
      </c>
      <c r="G65" s="22">
        <f>IF(OR(A65="",B65=""),"",IFERROR(INDEX('Their statement'!$D$2:$D$201,MATCH(B65,'Their statement'!$A$2:$A$201,0)),""))</f>
      </c>
      <c r="H65" s="22">
        <f>IF(OR(A65="",B65=""),"",IFERROR(INDEX('Their statement'!$E$2:$E$201,MATCH(B65,'Their statement'!$A$2:$A$201,0)),""))</f>
      </c>
      <c r="I65" s="19">
        <f>IF(A65="","",IF(B65="","No PO yet",IF(ISNUMBER(MATCH(B65,'Their statement'!$A$2:$A$201,0)),IF(AND(ROUND(F65-IF(H65="",0,H65),2)=0,OR(G65="",ROUND(E65-IF(G65="",0,G65),2)=0)),"Matches","Differs"),"Missing")))</f>
      </c>
      <c r="J65" s="22">
        <f>IF(OR(I65="Missing",I65="Differs"),F65-IF(H65="",0,H65),"")</f>
      </c>
      <c r="K65" s="10"/>
      <c r="L65" s="23">
        <f>IF(N65=1,SUM($N$10:N65),"")</f>
      </c>
      <c r="M65" s="24">
        <f>IF(N65=1,"Customer PO "&amp;B65&amp;" · "&amp;C65&amp;" · case "&amp;D65&amp;CHAR(10)&amp;"Sales "&amp;DOLLAR(E65,2)&amp;" · commission "&amp;DOLLAR(F65,2)&amp;CHAR(10)&amp;IF(I65="Missing","Not on your "&amp;Setup!$B$5&amp;" commission statement.","Your statement shows commission "&amp;DOLLAR(IF(H65="",0,H65),2)&amp;" (ours "&amp;DOLLAR(F65,2)&amp;")"&amp;IF(AND(G65&lt;&gt;"",ROUND(E65-IF(G65="",0,G65),2)&lt;&gt;0),"; sales price "&amp;DOLLAR(IF(G65="",0,G65),2)&amp;" (ours "&amp;DOLLAR(E65,2)&amp;")","")&amp;".")&amp;CHAR(10)&amp;IF('Our DOs'!G57&lt;&gt;"","We sent this Delivery Order"&amp;IF('Our DOs'!I57="Yes",", with the hospital's purchase order number,","")&amp;" on "&amp;'Our DOs'!G57&amp;IF('Our DOs'!H57&lt;&gt;""," by "&amp;LOWER('Our DOs'!H57),"")&amp;". The Delivery Order is available on request.","The Delivery Order is available on request."),"")</f>
      </c>
      <c r="N65" s="25">
        <f>IF(AND(OR(I65="Missing",I65="Differs"),K65&lt;&gt;"No"),1,0)</f>
      </c>
    </row>
    <row r="66" spans="1:14" x14ac:dyDescent="0.25">
      <c r="A66" s="19">
        <f>IF('Our DOs'!A58="","",'Our DOs'!A58)</f>
      </c>
      <c r="B66" s="19">
        <f>IF(A66="","",'Our DOs'!B58)</f>
      </c>
      <c r="C66" s="19">
        <f>IF(A66="","",'Our DOs'!C58)</f>
      </c>
      <c r="D66" s="19">
        <f>IF(A66="","",'Our DOs'!D58)</f>
      </c>
      <c r="E66" s="22">
        <f>IF(A66="","",'Our DOs'!E58)</f>
      </c>
      <c r="F66" s="22">
        <f>IF(A66="","",'Our DOs'!F58)</f>
      </c>
      <c r="G66" s="22">
        <f>IF(OR(A66="",B66=""),"",IFERROR(INDEX('Their statement'!$D$2:$D$201,MATCH(B66,'Their statement'!$A$2:$A$201,0)),""))</f>
      </c>
      <c r="H66" s="22">
        <f>IF(OR(A66="",B66=""),"",IFERROR(INDEX('Their statement'!$E$2:$E$201,MATCH(B66,'Their statement'!$A$2:$A$201,0)),""))</f>
      </c>
      <c r="I66" s="19">
        <f>IF(A66="","",IF(B66="","No PO yet",IF(ISNUMBER(MATCH(B66,'Their statement'!$A$2:$A$201,0)),IF(AND(ROUND(F66-IF(H66="",0,H66),2)=0,OR(G66="",ROUND(E66-IF(G66="",0,G66),2)=0)),"Matches","Differs"),"Missing")))</f>
      </c>
      <c r="J66" s="22">
        <f>IF(OR(I66="Missing",I66="Differs"),F66-IF(H66="",0,H66),"")</f>
      </c>
      <c r="K66" s="10"/>
      <c r="L66" s="23">
        <f>IF(N66=1,SUM($N$10:N66),"")</f>
      </c>
      <c r="M66" s="24">
        <f>IF(N66=1,"Customer PO "&amp;B66&amp;" · "&amp;C66&amp;" · case "&amp;D66&amp;CHAR(10)&amp;"Sales "&amp;DOLLAR(E66,2)&amp;" · commission "&amp;DOLLAR(F66,2)&amp;CHAR(10)&amp;IF(I66="Missing","Not on your "&amp;Setup!$B$5&amp;" commission statement.","Your statement shows commission "&amp;DOLLAR(IF(H66="",0,H66),2)&amp;" (ours "&amp;DOLLAR(F66,2)&amp;")"&amp;IF(AND(G66&lt;&gt;"",ROUND(E66-IF(G66="",0,G66),2)&lt;&gt;0),"; sales price "&amp;DOLLAR(IF(G66="",0,G66),2)&amp;" (ours "&amp;DOLLAR(E66,2)&amp;")","")&amp;".")&amp;CHAR(10)&amp;IF('Our DOs'!G58&lt;&gt;"","We sent this Delivery Order"&amp;IF('Our DOs'!I58="Yes",", with the hospital's purchase order number,","")&amp;" on "&amp;'Our DOs'!G58&amp;IF('Our DOs'!H58&lt;&gt;""," by "&amp;LOWER('Our DOs'!H58),"")&amp;". The Delivery Order is available on request.","The Delivery Order is available on request."),"")</f>
      </c>
      <c r="N66" s="25">
        <f>IF(AND(OR(I66="Missing",I66="Differs"),K66&lt;&gt;"No"),1,0)</f>
      </c>
    </row>
    <row r="67" spans="1:14" x14ac:dyDescent="0.25">
      <c r="A67" s="19">
        <f>IF('Our DOs'!A59="","",'Our DOs'!A59)</f>
      </c>
      <c r="B67" s="19">
        <f>IF(A67="","",'Our DOs'!B59)</f>
      </c>
      <c r="C67" s="19">
        <f>IF(A67="","",'Our DOs'!C59)</f>
      </c>
      <c r="D67" s="19">
        <f>IF(A67="","",'Our DOs'!D59)</f>
      </c>
      <c r="E67" s="22">
        <f>IF(A67="","",'Our DOs'!E59)</f>
      </c>
      <c r="F67" s="22">
        <f>IF(A67="","",'Our DOs'!F59)</f>
      </c>
      <c r="G67" s="22">
        <f>IF(OR(A67="",B67=""),"",IFERROR(INDEX('Their statement'!$D$2:$D$201,MATCH(B67,'Their statement'!$A$2:$A$201,0)),""))</f>
      </c>
      <c r="H67" s="22">
        <f>IF(OR(A67="",B67=""),"",IFERROR(INDEX('Their statement'!$E$2:$E$201,MATCH(B67,'Their statement'!$A$2:$A$201,0)),""))</f>
      </c>
      <c r="I67" s="19">
        <f>IF(A67="","",IF(B67="","No PO yet",IF(ISNUMBER(MATCH(B67,'Their statement'!$A$2:$A$201,0)),IF(AND(ROUND(F67-IF(H67="",0,H67),2)=0,OR(G67="",ROUND(E67-IF(G67="",0,G67),2)=0)),"Matches","Differs"),"Missing")))</f>
      </c>
      <c r="J67" s="22">
        <f>IF(OR(I67="Missing",I67="Differs"),F67-IF(H67="",0,H67),"")</f>
      </c>
      <c r="K67" s="10"/>
      <c r="L67" s="23">
        <f>IF(N67=1,SUM($N$10:N67),"")</f>
      </c>
      <c r="M67" s="24">
        <f>IF(N67=1,"Customer PO "&amp;B67&amp;" · "&amp;C67&amp;" · case "&amp;D67&amp;CHAR(10)&amp;"Sales "&amp;DOLLAR(E67,2)&amp;" · commission "&amp;DOLLAR(F67,2)&amp;CHAR(10)&amp;IF(I67="Missing","Not on your "&amp;Setup!$B$5&amp;" commission statement.","Your statement shows commission "&amp;DOLLAR(IF(H67="",0,H67),2)&amp;" (ours "&amp;DOLLAR(F67,2)&amp;")"&amp;IF(AND(G67&lt;&gt;"",ROUND(E67-IF(G67="",0,G67),2)&lt;&gt;0),"; sales price "&amp;DOLLAR(IF(G67="",0,G67),2)&amp;" (ours "&amp;DOLLAR(E67,2)&amp;")","")&amp;".")&amp;CHAR(10)&amp;IF('Our DOs'!G59&lt;&gt;"","We sent this Delivery Order"&amp;IF('Our DOs'!I59="Yes",", with the hospital's purchase order number,","")&amp;" on "&amp;'Our DOs'!G59&amp;IF('Our DOs'!H59&lt;&gt;""," by "&amp;LOWER('Our DOs'!H59),"")&amp;". The Delivery Order is available on request.","The Delivery Order is available on request."),"")</f>
      </c>
      <c r="N67" s="25">
        <f>IF(AND(OR(I67="Missing",I67="Differs"),K67&lt;&gt;"No"),1,0)</f>
      </c>
    </row>
    <row r="68" spans="1:14" x14ac:dyDescent="0.25">
      <c r="A68" s="19">
        <f>IF('Our DOs'!A60="","",'Our DOs'!A60)</f>
      </c>
      <c r="B68" s="19">
        <f>IF(A68="","",'Our DOs'!B60)</f>
      </c>
      <c r="C68" s="19">
        <f>IF(A68="","",'Our DOs'!C60)</f>
      </c>
      <c r="D68" s="19">
        <f>IF(A68="","",'Our DOs'!D60)</f>
      </c>
      <c r="E68" s="22">
        <f>IF(A68="","",'Our DOs'!E60)</f>
      </c>
      <c r="F68" s="22">
        <f>IF(A68="","",'Our DOs'!F60)</f>
      </c>
      <c r="G68" s="22">
        <f>IF(OR(A68="",B68=""),"",IFERROR(INDEX('Their statement'!$D$2:$D$201,MATCH(B68,'Their statement'!$A$2:$A$201,0)),""))</f>
      </c>
      <c r="H68" s="22">
        <f>IF(OR(A68="",B68=""),"",IFERROR(INDEX('Their statement'!$E$2:$E$201,MATCH(B68,'Their statement'!$A$2:$A$201,0)),""))</f>
      </c>
      <c r="I68" s="19">
        <f>IF(A68="","",IF(B68="","No PO yet",IF(ISNUMBER(MATCH(B68,'Their statement'!$A$2:$A$201,0)),IF(AND(ROUND(F68-IF(H68="",0,H68),2)=0,OR(G68="",ROUND(E68-IF(G68="",0,G68),2)=0)),"Matches","Differs"),"Missing")))</f>
      </c>
      <c r="J68" s="22">
        <f>IF(OR(I68="Missing",I68="Differs"),F68-IF(H68="",0,H68),"")</f>
      </c>
      <c r="K68" s="10"/>
      <c r="L68" s="23">
        <f>IF(N68=1,SUM($N$10:N68),"")</f>
      </c>
      <c r="M68" s="24">
        <f>IF(N68=1,"Customer PO "&amp;B68&amp;" · "&amp;C68&amp;" · case "&amp;D68&amp;CHAR(10)&amp;"Sales "&amp;DOLLAR(E68,2)&amp;" · commission "&amp;DOLLAR(F68,2)&amp;CHAR(10)&amp;IF(I68="Missing","Not on your "&amp;Setup!$B$5&amp;" commission statement.","Your statement shows commission "&amp;DOLLAR(IF(H68="",0,H68),2)&amp;" (ours "&amp;DOLLAR(F68,2)&amp;")"&amp;IF(AND(G68&lt;&gt;"",ROUND(E68-IF(G68="",0,G68),2)&lt;&gt;0),"; sales price "&amp;DOLLAR(IF(G68="",0,G68),2)&amp;" (ours "&amp;DOLLAR(E68,2)&amp;")","")&amp;".")&amp;CHAR(10)&amp;IF('Our DOs'!G60&lt;&gt;"","We sent this Delivery Order"&amp;IF('Our DOs'!I60="Yes",", with the hospital's purchase order number,","")&amp;" on "&amp;'Our DOs'!G60&amp;IF('Our DOs'!H60&lt;&gt;""," by "&amp;LOWER('Our DOs'!H60),"")&amp;". The Delivery Order is available on request.","The Delivery Order is available on request."),"")</f>
      </c>
      <c r="N68" s="25">
        <f>IF(AND(OR(I68="Missing",I68="Differs"),K68&lt;&gt;"No"),1,0)</f>
      </c>
    </row>
    <row r="69" spans="1:14" x14ac:dyDescent="0.25">
      <c r="A69" s="19">
        <f>IF('Our DOs'!A61="","",'Our DOs'!A61)</f>
      </c>
      <c r="B69" s="19">
        <f>IF(A69="","",'Our DOs'!B61)</f>
      </c>
      <c r="C69" s="19">
        <f>IF(A69="","",'Our DOs'!C61)</f>
      </c>
      <c r="D69" s="19">
        <f>IF(A69="","",'Our DOs'!D61)</f>
      </c>
      <c r="E69" s="22">
        <f>IF(A69="","",'Our DOs'!E61)</f>
      </c>
      <c r="F69" s="22">
        <f>IF(A69="","",'Our DOs'!F61)</f>
      </c>
      <c r="G69" s="22">
        <f>IF(OR(A69="",B69=""),"",IFERROR(INDEX('Their statement'!$D$2:$D$201,MATCH(B69,'Their statement'!$A$2:$A$201,0)),""))</f>
      </c>
      <c r="H69" s="22">
        <f>IF(OR(A69="",B69=""),"",IFERROR(INDEX('Their statement'!$E$2:$E$201,MATCH(B69,'Their statement'!$A$2:$A$201,0)),""))</f>
      </c>
      <c r="I69" s="19">
        <f>IF(A69="","",IF(B69="","No PO yet",IF(ISNUMBER(MATCH(B69,'Their statement'!$A$2:$A$201,0)),IF(AND(ROUND(F69-IF(H69="",0,H69),2)=0,OR(G69="",ROUND(E69-IF(G69="",0,G69),2)=0)),"Matches","Differs"),"Missing")))</f>
      </c>
      <c r="J69" s="22">
        <f>IF(OR(I69="Missing",I69="Differs"),F69-IF(H69="",0,H69),"")</f>
      </c>
      <c r="K69" s="10"/>
      <c r="L69" s="23">
        <f>IF(N69=1,SUM($N$10:N69),"")</f>
      </c>
      <c r="M69" s="24">
        <f>IF(N69=1,"Customer PO "&amp;B69&amp;" · "&amp;C69&amp;" · case "&amp;D69&amp;CHAR(10)&amp;"Sales "&amp;DOLLAR(E69,2)&amp;" · commission "&amp;DOLLAR(F69,2)&amp;CHAR(10)&amp;IF(I69="Missing","Not on your "&amp;Setup!$B$5&amp;" commission statement.","Your statement shows commission "&amp;DOLLAR(IF(H69="",0,H69),2)&amp;" (ours "&amp;DOLLAR(F69,2)&amp;")"&amp;IF(AND(G69&lt;&gt;"",ROUND(E69-IF(G69="",0,G69),2)&lt;&gt;0),"; sales price "&amp;DOLLAR(IF(G69="",0,G69),2)&amp;" (ours "&amp;DOLLAR(E69,2)&amp;")","")&amp;".")&amp;CHAR(10)&amp;IF('Our DOs'!G61&lt;&gt;"","We sent this Delivery Order"&amp;IF('Our DOs'!I61="Yes",", with the hospital's purchase order number,","")&amp;" on "&amp;'Our DOs'!G61&amp;IF('Our DOs'!H61&lt;&gt;""," by "&amp;LOWER('Our DOs'!H61),"")&amp;". The Delivery Order is available on request.","The Delivery Order is available on request."),"")</f>
      </c>
      <c r="N69" s="25">
        <f>IF(AND(OR(I69="Missing",I69="Differs"),K69&lt;&gt;"No"),1,0)</f>
      </c>
    </row>
    <row r="70" spans="1:14" x14ac:dyDescent="0.25">
      <c r="A70" s="19">
        <f>IF('Our DOs'!A62="","",'Our DOs'!A62)</f>
      </c>
      <c r="B70" s="19">
        <f>IF(A70="","",'Our DOs'!B62)</f>
      </c>
      <c r="C70" s="19">
        <f>IF(A70="","",'Our DOs'!C62)</f>
      </c>
      <c r="D70" s="19">
        <f>IF(A70="","",'Our DOs'!D62)</f>
      </c>
      <c r="E70" s="22">
        <f>IF(A70="","",'Our DOs'!E62)</f>
      </c>
      <c r="F70" s="22">
        <f>IF(A70="","",'Our DOs'!F62)</f>
      </c>
      <c r="G70" s="22">
        <f>IF(OR(A70="",B70=""),"",IFERROR(INDEX('Their statement'!$D$2:$D$201,MATCH(B70,'Their statement'!$A$2:$A$201,0)),""))</f>
      </c>
      <c r="H70" s="22">
        <f>IF(OR(A70="",B70=""),"",IFERROR(INDEX('Their statement'!$E$2:$E$201,MATCH(B70,'Their statement'!$A$2:$A$201,0)),""))</f>
      </c>
      <c r="I70" s="19">
        <f>IF(A70="","",IF(B70="","No PO yet",IF(ISNUMBER(MATCH(B70,'Their statement'!$A$2:$A$201,0)),IF(AND(ROUND(F70-IF(H70="",0,H70),2)=0,OR(G70="",ROUND(E70-IF(G70="",0,G70),2)=0)),"Matches","Differs"),"Missing")))</f>
      </c>
      <c r="J70" s="22">
        <f>IF(OR(I70="Missing",I70="Differs"),F70-IF(H70="",0,H70),"")</f>
      </c>
      <c r="K70" s="10"/>
      <c r="L70" s="23">
        <f>IF(N70=1,SUM($N$10:N70),"")</f>
      </c>
      <c r="M70" s="24">
        <f>IF(N70=1,"Customer PO "&amp;B70&amp;" · "&amp;C70&amp;" · case "&amp;D70&amp;CHAR(10)&amp;"Sales "&amp;DOLLAR(E70,2)&amp;" · commission "&amp;DOLLAR(F70,2)&amp;CHAR(10)&amp;IF(I70="Missing","Not on your "&amp;Setup!$B$5&amp;" commission statement.","Your statement shows commission "&amp;DOLLAR(IF(H70="",0,H70),2)&amp;" (ours "&amp;DOLLAR(F70,2)&amp;")"&amp;IF(AND(G70&lt;&gt;"",ROUND(E70-IF(G70="",0,G70),2)&lt;&gt;0),"; sales price "&amp;DOLLAR(IF(G70="",0,G70),2)&amp;" (ours "&amp;DOLLAR(E70,2)&amp;")","")&amp;".")&amp;CHAR(10)&amp;IF('Our DOs'!G62&lt;&gt;"","We sent this Delivery Order"&amp;IF('Our DOs'!I62="Yes",", with the hospital's purchase order number,","")&amp;" on "&amp;'Our DOs'!G62&amp;IF('Our DOs'!H62&lt;&gt;""," by "&amp;LOWER('Our DOs'!H62),"")&amp;". The Delivery Order is available on request.","The Delivery Order is available on request."),"")</f>
      </c>
      <c r="N70" s="25">
        <f>IF(AND(OR(I70="Missing",I70="Differs"),K70&lt;&gt;"No"),1,0)</f>
      </c>
    </row>
    <row r="71" spans="1:14" x14ac:dyDescent="0.25">
      <c r="A71" s="19">
        <f>IF('Our DOs'!A63="","",'Our DOs'!A63)</f>
      </c>
      <c r="B71" s="19">
        <f>IF(A71="","",'Our DOs'!B63)</f>
      </c>
      <c r="C71" s="19">
        <f>IF(A71="","",'Our DOs'!C63)</f>
      </c>
      <c r="D71" s="19">
        <f>IF(A71="","",'Our DOs'!D63)</f>
      </c>
      <c r="E71" s="22">
        <f>IF(A71="","",'Our DOs'!E63)</f>
      </c>
      <c r="F71" s="22">
        <f>IF(A71="","",'Our DOs'!F63)</f>
      </c>
      <c r="G71" s="22">
        <f>IF(OR(A71="",B71=""),"",IFERROR(INDEX('Their statement'!$D$2:$D$201,MATCH(B71,'Their statement'!$A$2:$A$201,0)),""))</f>
      </c>
      <c r="H71" s="22">
        <f>IF(OR(A71="",B71=""),"",IFERROR(INDEX('Their statement'!$E$2:$E$201,MATCH(B71,'Their statement'!$A$2:$A$201,0)),""))</f>
      </c>
      <c r="I71" s="19">
        <f>IF(A71="","",IF(B71="","No PO yet",IF(ISNUMBER(MATCH(B71,'Their statement'!$A$2:$A$201,0)),IF(AND(ROUND(F71-IF(H71="",0,H71),2)=0,OR(G71="",ROUND(E71-IF(G71="",0,G71),2)=0)),"Matches","Differs"),"Missing")))</f>
      </c>
      <c r="J71" s="22">
        <f>IF(OR(I71="Missing",I71="Differs"),F71-IF(H71="",0,H71),"")</f>
      </c>
      <c r="K71" s="10"/>
      <c r="L71" s="23">
        <f>IF(N71=1,SUM($N$10:N71),"")</f>
      </c>
      <c r="M71" s="24">
        <f>IF(N71=1,"Customer PO "&amp;B71&amp;" · "&amp;C71&amp;" · case "&amp;D71&amp;CHAR(10)&amp;"Sales "&amp;DOLLAR(E71,2)&amp;" · commission "&amp;DOLLAR(F71,2)&amp;CHAR(10)&amp;IF(I71="Missing","Not on your "&amp;Setup!$B$5&amp;" commission statement.","Your statement shows commission "&amp;DOLLAR(IF(H71="",0,H71),2)&amp;" (ours "&amp;DOLLAR(F71,2)&amp;")"&amp;IF(AND(G71&lt;&gt;"",ROUND(E71-IF(G71="",0,G71),2)&lt;&gt;0),"; sales price "&amp;DOLLAR(IF(G71="",0,G71),2)&amp;" (ours "&amp;DOLLAR(E71,2)&amp;")","")&amp;".")&amp;CHAR(10)&amp;IF('Our DOs'!G63&lt;&gt;"","We sent this Delivery Order"&amp;IF('Our DOs'!I63="Yes",", with the hospital's purchase order number,","")&amp;" on "&amp;'Our DOs'!G63&amp;IF('Our DOs'!H63&lt;&gt;""," by "&amp;LOWER('Our DOs'!H63),"")&amp;". The Delivery Order is available on request.","The Delivery Order is available on request."),"")</f>
      </c>
      <c r="N71" s="25">
        <f>IF(AND(OR(I71="Missing",I71="Differs"),K71&lt;&gt;"No"),1,0)</f>
      </c>
    </row>
    <row r="72" spans="1:14" x14ac:dyDescent="0.25">
      <c r="A72" s="19">
        <f>IF('Our DOs'!A64="","",'Our DOs'!A64)</f>
      </c>
      <c r="B72" s="19">
        <f>IF(A72="","",'Our DOs'!B64)</f>
      </c>
      <c r="C72" s="19">
        <f>IF(A72="","",'Our DOs'!C64)</f>
      </c>
      <c r="D72" s="19">
        <f>IF(A72="","",'Our DOs'!D64)</f>
      </c>
      <c r="E72" s="22">
        <f>IF(A72="","",'Our DOs'!E64)</f>
      </c>
      <c r="F72" s="22">
        <f>IF(A72="","",'Our DOs'!F64)</f>
      </c>
      <c r="G72" s="22">
        <f>IF(OR(A72="",B72=""),"",IFERROR(INDEX('Their statement'!$D$2:$D$201,MATCH(B72,'Their statement'!$A$2:$A$201,0)),""))</f>
      </c>
      <c r="H72" s="22">
        <f>IF(OR(A72="",B72=""),"",IFERROR(INDEX('Their statement'!$E$2:$E$201,MATCH(B72,'Their statement'!$A$2:$A$201,0)),""))</f>
      </c>
      <c r="I72" s="19">
        <f>IF(A72="","",IF(B72="","No PO yet",IF(ISNUMBER(MATCH(B72,'Their statement'!$A$2:$A$201,0)),IF(AND(ROUND(F72-IF(H72="",0,H72),2)=0,OR(G72="",ROUND(E72-IF(G72="",0,G72),2)=0)),"Matches","Differs"),"Missing")))</f>
      </c>
      <c r="J72" s="22">
        <f>IF(OR(I72="Missing",I72="Differs"),F72-IF(H72="",0,H72),"")</f>
      </c>
      <c r="K72" s="10"/>
      <c r="L72" s="23">
        <f>IF(N72=1,SUM($N$10:N72),"")</f>
      </c>
      <c r="M72" s="24">
        <f>IF(N72=1,"Customer PO "&amp;B72&amp;" · "&amp;C72&amp;" · case "&amp;D72&amp;CHAR(10)&amp;"Sales "&amp;DOLLAR(E72,2)&amp;" · commission "&amp;DOLLAR(F72,2)&amp;CHAR(10)&amp;IF(I72="Missing","Not on your "&amp;Setup!$B$5&amp;" commission statement.","Your statement shows commission "&amp;DOLLAR(IF(H72="",0,H72),2)&amp;" (ours "&amp;DOLLAR(F72,2)&amp;")"&amp;IF(AND(G72&lt;&gt;"",ROUND(E72-IF(G72="",0,G72),2)&lt;&gt;0),"; sales price "&amp;DOLLAR(IF(G72="",0,G72),2)&amp;" (ours "&amp;DOLLAR(E72,2)&amp;")","")&amp;".")&amp;CHAR(10)&amp;IF('Our DOs'!G64&lt;&gt;"","We sent this Delivery Order"&amp;IF('Our DOs'!I64="Yes",", with the hospital's purchase order number,","")&amp;" on "&amp;'Our DOs'!G64&amp;IF('Our DOs'!H64&lt;&gt;""," by "&amp;LOWER('Our DOs'!H64),"")&amp;". The Delivery Order is available on request.","The Delivery Order is available on request."),"")</f>
      </c>
      <c r="N72" s="25">
        <f>IF(AND(OR(I72="Missing",I72="Differs"),K72&lt;&gt;"No"),1,0)</f>
      </c>
    </row>
    <row r="73" spans="1:14" x14ac:dyDescent="0.25">
      <c r="A73" s="19">
        <f>IF('Our DOs'!A65="","",'Our DOs'!A65)</f>
      </c>
      <c r="B73" s="19">
        <f>IF(A73="","",'Our DOs'!B65)</f>
      </c>
      <c r="C73" s="19">
        <f>IF(A73="","",'Our DOs'!C65)</f>
      </c>
      <c r="D73" s="19">
        <f>IF(A73="","",'Our DOs'!D65)</f>
      </c>
      <c r="E73" s="22">
        <f>IF(A73="","",'Our DOs'!E65)</f>
      </c>
      <c r="F73" s="22">
        <f>IF(A73="","",'Our DOs'!F65)</f>
      </c>
      <c r="G73" s="22">
        <f>IF(OR(A73="",B73=""),"",IFERROR(INDEX('Their statement'!$D$2:$D$201,MATCH(B73,'Their statement'!$A$2:$A$201,0)),""))</f>
      </c>
      <c r="H73" s="22">
        <f>IF(OR(A73="",B73=""),"",IFERROR(INDEX('Their statement'!$E$2:$E$201,MATCH(B73,'Their statement'!$A$2:$A$201,0)),""))</f>
      </c>
      <c r="I73" s="19">
        <f>IF(A73="","",IF(B73="","No PO yet",IF(ISNUMBER(MATCH(B73,'Their statement'!$A$2:$A$201,0)),IF(AND(ROUND(F73-IF(H73="",0,H73),2)=0,OR(G73="",ROUND(E73-IF(G73="",0,G73),2)=0)),"Matches","Differs"),"Missing")))</f>
      </c>
      <c r="J73" s="22">
        <f>IF(OR(I73="Missing",I73="Differs"),F73-IF(H73="",0,H73),"")</f>
      </c>
      <c r="K73" s="10"/>
      <c r="L73" s="23">
        <f>IF(N73=1,SUM($N$10:N73),"")</f>
      </c>
      <c r="M73" s="24">
        <f>IF(N73=1,"Customer PO "&amp;B73&amp;" · "&amp;C73&amp;" · case "&amp;D73&amp;CHAR(10)&amp;"Sales "&amp;DOLLAR(E73,2)&amp;" · commission "&amp;DOLLAR(F73,2)&amp;CHAR(10)&amp;IF(I73="Missing","Not on your "&amp;Setup!$B$5&amp;" commission statement.","Your statement shows commission "&amp;DOLLAR(IF(H73="",0,H73),2)&amp;" (ours "&amp;DOLLAR(F73,2)&amp;")"&amp;IF(AND(G73&lt;&gt;"",ROUND(E73-IF(G73="",0,G73),2)&lt;&gt;0),"; sales price "&amp;DOLLAR(IF(G73="",0,G73),2)&amp;" (ours "&amp;DOLLAR(E73,2)&amp;")","")&amp;".")&amp;CHAR(10)&amp;IF('Our DOs'!G65&lt;&gt;"","We sent this Delivery Order"&amp;IF('Our DOs'!I65="Yes",", with the hospital's purchase order number,","")&amp;" on "&amp;'Our DOs'!G65&amp;IF('Our DOs'!H65&lt;&gt;""," by "&amp;LOWER('Our DOs'!H65),"")&amp;". The Delivery Order is available on request.","The Delivery Order is available on request."),"")</f>
      </c>
      <c r="N73" s="25">
        <f>IF(AND(OR(I73="Missing",I73="Differs"),K73&lt;&gt;"No"),1,0)</f>
      </c>
    </row>
    <row r="74" spans="1:14" x14ac:dyDescent="0.25">
      <c r="A74" s="19">
        <f>IF('Our DOs'!A66="","",'Our DOs'!A66)</f>
      </c>
      <c r="B74" s="19">
        <f>IF(A74="","",'Our DOs'!B66)</f>
      </c>
      <c r="C74" s="19">
        <f>IF(A74="","",'Our DOs'!C66)</f>
      </c>
      <c r="D74" s="19">
        <f>IF(A74="","",'Our DOs'!D66)</f>
      </c>
      <c r="E74" s="22">
        <f>IF(A74="","",'Our DOs'!E66)</f>
      </c>
      <c r="F74" s="22">
        <f>IF(A74="","",'Our DOs'!F66)</f>
      </c>
      <c r="G74" s="22">
        <f>IF(OR(A74="",B74=""),"",IFERROR(INDEX('Their statement'!$D$2:$D$201,MATCH(B74,'Their statement'!$A$2:$A$201,0)),""))</f>
      </c>
      <c r="H74" s="22">
        <f>IF(OR(A74="",B74=""),"",IFERROR(INDEX('Their statement'!$E$2:$E$201,MATCH(B74,'Their statement'!$A$2:$A$201,0)),""))</f>
      </c>
      <c r="I74" s="19">
        <f>IF(A74="","",IF(B74="","No PO yet",IF(ISNUMBER(MATCH(B74,'Their statement'!$A$2:$A$201,0)),IF(AND(ROUND(F74-IF(H74="",0,H74),2)=0,OR(G74="",ROUND(E74-IF(G74="",0,G74),2)=0)),"Matches","Differs"),"Missing")))</f>
      </c>
      <c r="J74" s="22">
        <f>IF(OR(I74="Missing",I74="Differs"),F74-IF(H74="",0,H74),"")</f>
      </c>
      <c r="K74" s="10"/>
      <c r="L74" s="23">
        <f>IF(N74=1,SUM($N$10:N74),"")</f>
      </c>
      <c r="M74" s="24">
        <f>IF(N74=1,"Customer PO "&amp;B74&amp;" · "&amp;C74&amp;" · case "&amp;D74&amp;CHAR(10)&amp;"Sales "&amp;DOLLAR(E74,2)&amp;" · commission "&amp;DOLLAR(F74,2)&amp;CHAR(10)&amp;IF(I74="Missing","Not on your "&amp;Setup!$B$5&amp;" commission statement.","Your statement shows commission "&amp;DOLLAR(IF(H74="",0,H74),2)&amp;" (ours "&amp;DOLLAR(F74,2)&amp;")"&amp;IF(AND(G74&lt;&gt;"",ROUND(E74-IF(G74="",0,G74),2)&lt;&gt;0),"; sales price "&amp;DOLLAR(IF(G74="",0,G74),2)&amp;" (ours "&amp;DOLLAR(E74,2)&amp;")","")&amp;".")&amp;CHAR(10)&amp;IF('Our DOs'!G66&lt;&gt;"","We sent this Delivery Order"&amp;IF('Our DOs'!I66="Yes",", with the hospital's purchase order number,","")&amp;" on "&amp;'Our DOs'!G66&amp;IF('Our DOs'!H66&lt;&gt;""," by "&amp;LOWER('Our DOs'!H66),"")&amp;". The Delivery Order is available on request.","The Delivery Order is available on request."),"")</f>
      </c>
      <c r="N74" s="25">
        <f>IF(AND(OR(I74="Missing",I74="Differs"),K74&lt;&gt;"No"),1,0)</f>
      </c>
    </row>
    <row r="75" spans="1:14" x14ac:dyDescent="0.25">
      <c r="A75" s="19">
        <f>IF('Our DOs'!A67="","",'Our DOs'!A67)</f>
      </c>
      <c r="B75" s="19">
        <f>IF(A75="","",'Our DOs'!B67)</f>
      </c>
      <c r="C75" s="19">
        <f>IF(A75="","",'Our DOs'!C67)</f>
      </c>
      <c r="D75" s="19">
        <f>IF(A75="","",'Our DOs'!D67)</f>
      </c>
      <c r="E75" s="22">
        <f>IF(A75="","",'Our DOs'!E67)</f>
      </c>
      <c r="F75" s="22">
        <f>IF(A75="","",'Our DOs'!F67)</f>
      </c>
      <c r="G75" s="22">
        <f>IF(OR(A75="",B75=""),"",IFERROR(INDEX('Their statement'!$D$2:$D$201,MATCH(B75,'Their statement'!$A$2:$A$201,0)),""))</f>
      </c>
      <c r="H75" s="22">
        <f>IF(OR(A75="",B75=""),"",IFERROR(INDEX('Their statement'!$E$2:$E$201,MATCH(B75,'Their statement'!$A$2:$A$201,0)),""))</f>
      </c>
      <c r="I75" s="19">
        <f>IF(A75="","",IF(B75="","No PO yet",IF(ISNUMBER(MATCH(B75,'Their statement'!$A$2:$A$201,0)),IF(AND(ROUND(F75-IF(H75="",0,H75),2)=0,OR(G75="",ROUND(E75-IF(G75="",0,G75),2)=0)),"Matches","Differs"),"Missing")))</f>
      </c>
      <c r="J75" s="22">
        <f>IF(OR(I75="Missing",I75="Differs"),F75-IF(H75="",0,H75),"")</f>
      </c>
      <c r="K75" s="10"/>
      <c r="L75" s="23">
        <f>IF(N75=1,SUM($N$10:N75),"")</f>
      </c>
      <c r="M75" s="24">
        <f>IF(N75=1,"Customer PO "&amp;B75&amp;" · "&amp;C75&amp;" · case "&amp;D75&amp;CHAR(10)&amp;"Sales "&amp;DOLLAR(E75,2)&amp;" · commission "&amp;DOLLAR(F75,2)&amp;CHAR(10)&amp;IF(I75="Missing","Not on your "&amp;Setup!$B$5&amp;" commission statement.","Your statement shows commission "&amp;DOLLAR(IF(H75="",0,H75),2)&amp;" (ours "&amp;DOLLAR(F75,2)&amp;")"&amp;IF(AND(G75&lt;&gt;"",ROUND(E75-IF(G75="",0,G75),2)&lt;&gt;0),"; sales price "&amp;DOLLAR(IF(G75="",0,G75),2)&amp;" (ours "&amp;DOLLAR(E75,2)&amp;")","")&amp;".")&amp;CHAR(10)&amp;IF('Our DOs'!G67&lt;&gt;"","We sent this Delivery Order"&amp;IF('Our DOs'!I67="Yes",", with the hospital's purchase order number,","")&amp;" on "&amp;'Our DOs'!G67&amp;IF('Our DOs'!H67&lt;&gt;""," by "&amp;LOWER('Our DOs'!H67),"")&amp;". The Delivery Order is available on request.","The Delivery Order is available on request."),"")</f>
      </c>
      <c r="N75" s="25">
        <f>IF(AND(OR(I75="Missing",I75="Differs"),K75&lt;&gt;"No"),1,0)</f>
      </c>
    </row>
    <row r="76" spans="1:14" x14ac:dyDescent="0.25">
      <c r="A76" s="19">
        <f>IF('Our DOs'!A68="","",'Our DOs'!A68)</f>
      </c>
      <c r="B76" s="19">
        <f>IF(A76="","",'Our DOs'!B68)</f>
      </c>
      <c r="C76" s="19">
        <f>IF(A76="","",'Our DOs'!C68)</f>
      </c>
      <c r="D76" s="19">
        <f>IF(A76="","",'Our DOs'!D68)</f>
      </c>
      <c r="E76" s="22">
        <f>IF(A76="","",'Our DOs'!E68)</f>
      </c>
      <c r="F76" s="22">
        <f>IF(A76="","",'Our DOs'!F68)</f>
      </c>
      <c r="G76" s="22">
        <f>IF(OR(A76="",B76=""),"",IFERROR(INDEX('Their statement'!$D$2:$D$201,MATCH(B76,'Their statement'!$A$2:$A$201,0)),""))</f>
      </c>
      <c r="H76" s="22">
        <f>IF(OR(A76="",B76=""),"",IFERROR(INDEX('Their statement'!$E$2:$E$201,MATCH(B76,'Their statement'!$A$2:$A$201,0)),""))</f>
      </c>
      <c r="I76" s="19">
        <f>IF(A76="","",IF(B76="","No PO yet",IF(ISNUMBER(MATCH(B76,'Their statement'!$A$2:$A$201,0)),IF(AND(ROUND(F76-IF(H76="",0,H76),2)=0,OR(G76="",ROUND(E76-IF(G76="",0,G76),2)=0)),"Matches","Differs"),"Missing")))</f>
      </c>
      <c r="J76" s="22">
        <f>IF(OR(I76="Missing",I76="Differs"),F76-IF(H76="",0,H76),"")</f>
      </c>
      <c r="K76" s="10"/>
      <c r="L76" s="23">
        <f>IF(N76=1,SUM($N$10:N76),"")</f>
      </c>
      <c r="M76" s="24">
        <f>IF(N76=1,"Customer PO "&amp;B76&amp;" · "&amp;C76&amp;" · case "&amp;D76&amp;CHAR(10)&amp;"Sales "&amp;DOLLAR(E76,2)&amp;" · commission "&amp;DOLLAR(F76,2)&amp;CHAR(10)&amp;IF(I76="Missing","Not on your "&amp;Setup!$B$5&amp;" commission statement.","Your statement shows commission "&amp;DOLLAR(IF(H76="",0,H76),2)&amp;" (ours "&amp;DOLLAR(F76,2)&amp;")"&amp;IF(AND(G76&lt;&gt;"",ROUND(E76-IF(G76="",0,G76),2)&lt;&gt;0),"; sales price "&amp;DOLLAR(IF(G76="",0,G76),2)&amp;" (ours "&amp;DOLLAR(E76,2)&amp;")","")&amp;".")&amp;CHAR(10)&amp;IF('Our DOs'!G68&lt;&gt;"","We sent this Delivery Order"&amp;IF('Our DOs'!I68="Yes",", with the hospital's purchase order number,","")&amp;" on "&amp;'Our DOs'!G68&amp;IF('Our DOs'!H68&lt;&gt;""," by "&amp;LOWER('Our DOs'!H68),"")&amp;". The Delivery Order is available on request.","The Delivery Order is available on request."),"")</f>
      </c>
      <c r="N76" s="25">
        <f>IF(AND(OR(I76="Missing",I76="Differs"),K76&lt;&gt;"No"),1,0)</f>
      </c>
    </row>
    <row r="77" spans="1:14" x14ac:dyDescent="0.25">
      <c r="A77" s="19">
        <f>IF('Our DOs'!A69="","",'Our DOs'!A69)</f>
      </c>
      <c r="B77" s="19">
        <f>IF(A77="","",'Our DOs'!B69)</f>
      </c>
      <c r="C77" s="19">
        <f>IF(A77="","",'Our DOs'!C69)</f>
      </c>
      <c r="D77" s="19">
        <f>IF(A77="","",'Our DOs'!D69)</f>
      </c>
      <c r="E77" s="22">
        <f>IF(A77="","",'Our DOs'!E69)</f>
      </c>
      <c r="F77" s="22">
        <f>IF(A77="","",'Our DOs'!F69)</f>
      </c>
      <c r="G77" s="22">
        <f>IF(OR(A77="",B77=""),"",IFERROR(INDEX('Their statement'!$D$2:$D$201,MATCH(B77,'Their statement'!$A$2:$A$201,0)),""))</f>
      </c>
      <c r="H77" s="22">
        <f>IF(OR(A77="",B77=""),"",IFERROR(INDEX('Their statement'!$E$2:$E$201,MATCH(B77,'Their statement'!$A$2:$A$201,0)),""))</f>
      </c>
      <c r="I77" s="19">
        <f>IF(A77="","",IF(B77="","No PO yet",IF(ISNUMBER(MATCH(B77,'Their statement'!$A$2:$A$201,0)),IF(AND(ROUND(F77-IF(H77="",0,H77),2)=0,OR(G77="",ROUND(E77-IF(G77="",0,G77),2)=0)),"Matches","Differs"),"Missing")))</f>
      </c>
      <c r="J77" s="22">
        <f>IF(OR(I77="Missing",I77="Differs"),F77-IF(H77="",0,H77),"")</f>
      </c>
      <c r="K77" s="10"/>
      <c r="L77" s="23">
        <f>IF(N77=1,SUM($N$10:N77),"")</f>
      </c>
      <c r="M77" s="24">
        <f>IF(N77=1,"Customer PO "&amp;B77&amp;" · "&amp;C77&amp;" · case "&amp;D77&amp;CHAR(10)&amp;"Sales "&amp;DOLLAR(E77,2)&amp;" · commission "&amp;DOLLAR(F77,2)&amp;CHAR(10)&amp;IF(I77="Missing","Not on your "&amp;Setup!$B$5&amp;" commission statement.","Your statement shows commission "&amp;DOLLAR(IF(H77="",0,H77),2)&amp;" (ours "&amp;DOLLAR(F77,2)&amp;")"&amp;IF(AND(G77&lt;&gt;"",ROUND(E77-IF(G77="",0,G77),2)&lt;&gt;0),"; sales price "&amp;DOLLAR(IF(G77="",0,G77),2)&amp;" (ours "&amp;DOLLAR(E77,2)&amp;")","")&amp;".")&amp;CHAR(10)&amp;IF('Our DOs'!G69&lt;&gt;"","We sent this Delivery Order"&amp;IF('Our DOs'!I69="Yes",", with the hospital's purchase order number,","")&amp;" on "&amp;'Our DOs'!G69&amp;IF('Our DOs'!H69&lt;&gt;""," by "&amp;LOWER('Our DOs'!H69),"")&amp;". The Delivery Order is available on request.","The Delivery Order is available on request."),"")</f>
      </c>
      <c r="N77" s="25">
        <f>IF(AND(OR(I77="Missing",I77="Differs"),K77&lt;&gt;"No"),1,0)</f>
      </c>
    </row>
    <row r="78" spans="1:14" x14ac:dyDescent="0.25">
      <c r="A78" s="19">
        <f>IF('Our DOs'!A70="","",'Our DOs'!A70)</f>
      </c>
      <c r="B78" s="19">
        <f>IF(A78="","",'Our DOs'!B70)</f>
      </c>
      <c r="C78" s="19">
        <f>IF(A78="","",'Our DOs'!C70)</f>
      </c>
      <c r="D78" s="19">
        <f>IF(A78="","",'Our DOs'!D70)</f>
      </c>
      <c r="E78" s="22">
        <f>IF(A78="","",'Our DOs'!E70)</f>
      </c>
      <c r="F78" s="22">
        <f>IF(A78="","",'Our DOs'!F70)</f>
      </c>
      <c r="G78" s="22">
        <f>IF(OR(A78="",B78=""),"",IFERROR(INDEX('Their statement'!$D$2:$D$201,MATCH(B78,'Their statement'!$A$2:$A$201,0)),""))</f>
      </c>
      <c r="H78" s="22">
        <f>IF(OR(A78="",B78=""),"",IFERROR(INDEX('Their statement'!$E$2:$E$201,MATCH(B78,'Their statement'!$A$2:$A$201,0)),""))</f>
      </c>
      <c r="I78" s="19">
        <f>IF(A78="","",IF(B78="","No PO yet",IF(ISNUMBER(MATCH(B78,'Their statement'!$A$2:$A$201,0)),IF(AND(ROUND(F78-IF(H78="",0,H78),2)=0,OR(G78="",ROUND(E78-IF(G78="",0,G78),2)=0)),"Matches","Differs"),"Missing")))</f>
      </c>
      <c r="J78" s="22">
        <f>IF(OR(I78="Missing",I78="Differs"),F78-IF(H78="",0,H78),"")</f>
      </c>
      <c r="K78" s="10"/>
      <c r="L78" s="23">
        <f>IF(N78=1,SUM($N$10:N78),"")</f>
      </c>
      <c r="M78" s="24">
        <f>IF(N78=1,"Customer PO "&amp;B78&amp;" · "&amp;C78&amp;" · case "&amp;D78&amp;CHAR(10)&amp;"Sales "&amp;DOLLAR(E78,2)&amp;" · commission "&amp;DOLLAR(F78,2)&amp;CHAR(10)&amp;IF(I78="Missing","Not on your "&amp;Setup!$B$5&amp;" commission statement.","Your statement shows commission "&amp;DOLLAR(IF(H78="",0,H78),2)&amp;" (ours "&amp;DOLLAR(F78,2)&amp;")"&amp;IF(AND(G78&lt;&gt;"",ROUND(E78-IF(G78="",0,G78),2)&lt;&gt;0),"; sales price "&amp;DOLLAR(IF(G78="",0,G78),2)&amp;" (ours "&amp;DOLLAR(E78,2)&amp;")","")&amp;".")&amp;CHAR(10)&amp;IF('Our DOs'!G70&lt;&gt;"","We sent this Delivery Order"&amp;IF('Our DOs'!I70="Yes",", with the hospital's purchase order number,","")&amp;" on "&amp;'Our DOs'!G70&amp;IF('Our DOs'!H70&lt;&gt;""," by "&amp;LOWER('Our DOs'!H70),"")&amp;". The Delivery Order is available on request.","The Delivery Order is available on request."),"")</f>
      </c>
      <c r="N78" s="25">
        <f>IF(AND(OR(I78="Missing",I78="Differs"),K78&lt;&gt;"No"),1,0)</f>
      </c>
    </row>
    <row r="79" spans="1:14" x14ac:dyDescent="0.25">
      <c r="A79" s="19">
        <f>IF('Our DOs'!A71="","",'Our DOs'!A71)</f>
      </c>
      <c r="B79" s="19">
        <f>IF(A79="","",'Our DOs'!B71)</f>
      </c>
      <c r="C79" s="19">
        <f>IF(A79="","",'Our DOs'!C71)</f>
      </c>
      <c r="D79" s="19">
        <f>IF(A79="","",'Our DOs'!D71)</f>
      </c>
      <c r="E79" s="22">
        <f>IF(A79="","",'Our DOs'!E71)</f>
      </c>
      <c r="F79" s="22">
        <f>IF(A79="","",'Our DOs'!F71)</f>
      </c>
      <c r="G79" s="22">
        <f>IF(OR(A79="",B79=""),"",IFERROR(INDEX('Their statement'!$D$2:$D$201,MATCH(B79,'Their statement'!$A$2:$A$201,0)),""))</f>
      </c>
      <c r="H79" s="22">
        <f>IF(OR(A79="",B79=""),"",IFERROR(INDEX('Their statement'!$E$2:$E$201,MATCH(B79,'Their statement'!$A$2:$A$201,0)),""))</f>
      </c>
      <c r="I79" s="19">
        <f>IF(A79="","",IF(B79="","No PO yet",IF(ISNUMBER(MATCH(B79,'Their statement'!$A$2:$A$201,0)),IF(AND(ROUND(F79-IF(H79="",0,H79),2)=0,OR(G79="",ROUND(E79-IF(G79="",0,G79),2)=0)),"Matches","Differs"),"Missing")))</f>
      </c>
      <c r="J79" s="22">
        <f>IF(OR(I79="Missing",I79="Differs"),F79-IF(H79="",0,H79),"")</f>
      </c>
      <c r="K79" s="10"/>
      <c r="L79" s="23">
        <f>IF(N79=1,SUM($N$10:N79),"")</f>
      </c>
      <c r="M79" s="24">
        <f>IF(N79=1,"Customer PO "&amp;B79&amp;" · "&amp;C79&amp;" · case "&amp;D79&amp;CHAR(10)&amp;"Sales "&amp;DOLLAR(E79,2)&amp;" · commission "&amp;DOLLAR(F79,2)&amp;CHAR(10)&amp;IF(I79="Missing","Not on your "&amp;Setup!$B$5&amp;" commission statement.","Your statement shows commission "&amp;DOLLAR(IF(H79="",0,H79),2)&amp;" (ours "&amp;DOLLAR(F79,2)&amp;")"&amp;IF(AND(G79&lt;&gt;"",ROUND(E79-IF(G79="",0,G79),2)&lt;&gt;0),"; sales price "&amp;DOLLAR(IF(G79="",0,G79),2)&amp;" (ours "&amp;DOLLAR(E79,2)&amp;")","")&amp;".")&amp;CHAR(10)&amp;IF('Our DOs'!G71&lt;&gt;"","We sent this Delivery Order"&amp;IF('Our DOs'!I71="Yes",", with the hospital's purchase order number,","")&amp;" on "&amp;'Our DOs'!G71&amp;IF('Our DOs'!H71&lt;&gt;""," by "&amp;LOWER('Our DOs'!H71),"")&amp;". The Delivery Order is available on request.","The Delivery Order is available on request."),"")</f>
      </c>
      <c r="N79" s="25">
        <f>IF(AND(OR(I79="Missing",I79="Differs"),K79&lt;&gt;"No"),1,0)</f>
      </c>
    </row>
    <row r="80" spans="1:14" x14ac:dyDescent="0.25">
      <c r="A80" s="19">
        <f>IF('Our DOs'!A72="","",'Our DOs'!A72)</f>
      </c>
      <c r="B80" s="19">
        <f>IF(A80="","",'Our DOs'!B72)</f>
      </c>
      <c r="C80" s="19">
        <f>IF(A80="","",'Our DOs'!C72)</f>
      </c>
      <c r="D80" s="19">
        <f>IF(A80="","",'Our DOs'!D72)</f>
      </c>
      <c r="E80" s="22">
        <f>IF(A80="","",'Our DOs'!E72)</f>
      </c>
      <c r="F80" s="22">
        <f>IF(A80="","",'Our DOs'!F72)</f>
      </c>
      <c r="G80" s="22">
        <f>IF(OR(A80="",B80=""),"",IFERROR(INDEX('Their statement'!$D$2:$D$201,MATCH(B80,'Their statement'!$A$2:$A$201,0)),""))</f>
      </c>
      <c r="H80" s="22">
        <f>IF(OR(A80="",B80=""),"",IFERROR(INDEX('Their statement'!$E$2:$E$201,MATCH(B80,'Their statement'!$A$2:$A$201,0)),""))</f>
      </c>
      <c r="I80" s="19">
        <f>IF(A80="","",IF(B80="","No PO yet",IF(ISNUMBER(MATCH(B80,'Their statement'!$A$2:$A$201,0)),IF(AND(ROUND(F80-IF(H80="",0,H80),2)=0,OR(G80="",ROUND(E80-IF(G80="",0,G80),2)=0)),"Matches","Differs"),"Missing")))</f>
      </c>
      <c r="J80" s="22">
        <f>IF(OR(I80="Missing",I80="Differs"),F80-IF(H80="",0,H80),"")</f>
      </c>
      <c r="K80" s="10"/>
      <c r="L80" s="23">
        <f>IF(N80=1,SUM($N$10:N80),"")</f>
      </c>
      <c r="M80" s="24">
        <f>IF(N80=1,"Customer PO "&amp;B80&amp;" · "&amp;C80&amp;" · case "&amp;D80&amp;CHAR(10)&amp;"Sales "&amp;DOLLAR(E80,2)&amp;" · commission "&amp;DOLLAR(F80,2)&amp;CHAR(10)&amp;IF(I80="Missing","Not on your "&amp;Setup!$B$5&amp;" commission statement.","Your statement shows commission "&amp;DOLLAR(IF(H80="",0,H80),2)&amp;" (ours "&amp;DOLLAR(F80,2)&amp;")"&amp;IF(AND(G80&lt;&gt;"",ROUND(E80-IF(G80="",0,G80),2)&lt;&gt;0),"; sales price "&amp;DOLLAR(IF(G80="",0,G80),2)&amp;" (ours "&amp;DOLLAR(E80,2)&amp;")","")&amp;".")&amp;CHAR(10)&amp;IF('Our DOs'!G72&lt;&gt;"","We sent this Delivery Order"&amp;IF('Our DOs'!I72="Yes",", with the hospital's purchase order number,","")&amp;" on "&amp;'Our DOs'!G72&amp;IF('Our DOs'!H72&lt;&gt;""," by "&amp;LOWER('Our DOs'!H72),"")&amp;". The Delivery Order is available on request.","The Delivery Order is available on request."),"")</f>
      </c>
      <c r="N80" s="25">
        <f>IF(AND(OR(I80="Missing",I80="Differs"),K80&lt;&gt;"No"),1,0)</f>
      </c>
    </row>
    <row r="81" spans="1:14" x14ac:dyDescent="0.25">
      <c r="A81" s="19">
        <f>IF('Our DOs'!A73="","",'Our DOs'!A73)</f>
      </c>
      <c r="B81" s="19">
        <f>IF(A81="","",'Our DOs'!B73)</f>
      </c>
      <c r="C81" s="19">
        <f>IF(A81="","",'Our DOs'!C73)</f>
      </c>
      <c r="D81" s="19">
        <f>IF(A81="","",'Our DOs'!D73)</f>
      </c>
      <c r="E81" s="22">
        <f>IF(A81="","",'Our DOs'!E73)</f>
      </c>
      <c r="F81" s="22">
        <f>IF(A81="","",'Our DOs'!F73)</f>
      </c>
      <c r="G81" s="22">
        <f>IF(OR(A81="",B81=""),"",IFERROR(INDEX('Their statement'!$D$2:$D$201,MATCH(B81,'Their statement'!$A$2:$A$201,0)),""))</f>
      </c>
      <c r="H81" s="22">
        <f>IF(OR(A81="",B81=""),"",IFERROR(INDEX('Their statement'!$E$2:$E$201,MATCH(B81,'Their statement'!$A$2:$A$201,0)),""))</f>
      </c>
      <c r="I81" s="19">
        <f>IF(A81="","",IF(B81="","No PO yet",IF(ISNUMBER(MATCH(B81,'Their statement'!$A$2:$A$201,0)),IF(AND(ROUND(F81-IF(H81="",0,H81),2)=0,OR(G81="",ROUND(E81-IF(G81="",0,G81),2)=0)),"Matches","Differs"),"Missing")))</f>
      </c>
      <c r="J81" s="22">
        <f>IF(OR(I81="Missing",I81="Differs"),F81-IF(H81="",0,H81),"")</f>
      </c>
      <c r="K81" s="10"/>
      <c r="L81" s="23">
        <f>IF(N81=1,SUM($N$10:N81),"")</f>
      </c>
      <c r="M81" s="24">
        <f>IF(N81=1,"Customer PO "&amp;B81&amp;" · "&amp;C81&amp;" · case "&amp;D81&amp;CHAR(10)&amp;"Sales "&amp;DOLLAR(E81,2)&amp;" · commission "&amp;DOLLAR(F81,2)&amp;CHAR(10)&amp;IF(I81="Missing","Not on your "&amp;Setup!$B$5&amp;" commission statement.","Your statement shows commission "&amp;DOLLAR(IF(H81="",0,H81),2)&amp;" (ours "&amp;DOLLAR(F81,2)&amp;")"&amp;IF(AND(G81&lt;&gt;"",ROUND(E81-IF(G81="",0,G81),2)&lt;&gt;0),"; sales price "&amp;DOLLAR(IF(G81="",0,G81),2)&amp;" (ours "&amp;DOLLAR(E81,2)&amp;")","")&amp;".")&amp;CHAR(10)&amp;IF('Our DOs'!G73&lt;&gt;"","We sent this Delivery Order"&amp;IF('Our DOs'!I73="Yes",", with the hospital's purchase order number,","")&amp;" on "&amp;'Our DOs'!G73&amp;IF('Our DOs'!H73&lt;&gt;""," by "&amp;LOWER('Our DOs'!H73),"")&amp;". The Delivery Order is available on request.","The Delivery Order is available on request."),"")</f>
      </c>
      <c r="N81" s="25">
        <f>IF(AND(OR(I81="Missing",I81="Differs"),K81&lt;&gt;"No"),1,0)</f>
      </c>
    </row>
    <row r="82" spans="1:14" x14ac:dyDescent="0.25">
      <c r="A82" s="19">
        <f>IF('Our DOs'!A74="","",'Our DOs'!A74)</f>
      </c>
      <c r="B82" s="19">
        <f>IF(A82="","",'Our DOs'!B74)</f>
      </c>
      <c r="C82" s="19">
        <f>IF(A82="","",'Our DOs'!C74)</f>
      </c>
      <c r="D82" s="19">
        <f>IF(A82="","",'Our DOs'!D74)</f>
      </c>
      <c r="E82" s="22">
        <f>IF(A82="","",'Our DOs'!E74)</f>
      </c>
      <c r="F82" s="22">
        <f>IF(A82="","",'Our DOs'!F74)</f>
      </c>
      <c r="G82" s="22">
        <f>IF(OR(A82="",B82=""),"",IFERROR(INDEX('Their statement'!$D$2:$D$201,MATCH(B82,'Their statement'!$A$2:$A$201,0)),""))</f>
      </c>
      <c r="H82" s="22">
        <f>IF(OR(A82="",B82=""),"",IFERROR(INDEX('Their statement'!$E$2:$E$201,MATCH(B82,'Their statement'!$A$2:$A$201,0)),""))</f>
      </c>
      <c r="I82" s="19">
        <f>IF(A82="","",IF(B82="","No PO yet",IF(ISNUMBER(MATCH(B82,'Their statement'!$A$2:$A$201,0)),IF(AND(ROUND(F82-IF(H82="",0,H82),2)=0,OR(G82="",ROUND(E82-IF(G82="",0,G82),2)=0)),"Matches","Differs"),"Missing")))</f>
      </c>
      <c r="J82" s="22">
        <f>IF(OR(I82="Missing",I82="Differs"),F82-IF(H82="",0,H82),"")</f>
      </c>
      <c r="K82" s="10"/>
      <c r="L82" s="23">
        <f>IF(N82=1,SUM($N$10:N82),"")</f>
      </c>
      <c r="M82" s="24">
        <f>IF(N82=1,"Customer PO "&amp;B82&amp;" · "&amp;C82&amp;" · case "&amp;D82&amp;CHAR(10)&amp;"Sales "&amp;DOLLAR(E82,2)&amp;" · commission "&amp;DOLLAR(F82,2)&amp;CHAR(10)&amp;IF(I82="Missing","Not on your "&amp;Setup!$B$5&amp;" commission statement.","Your statement shows commission "&amp;DOLLAR(IF(H82="",0,H82),2)&amp;" (ours "&amp;DOLLAR(F82,2)&amp;")"&amp;IF(AND(G82&lt;&gt;"",ROUND(E82-IF(G82="",0,G82),2)&lt;&gt;0),"; sales price "&amp;DOLLAR(IF(G82="",0,G82),2)&amp;" (ours "&amp;DOLLAR(E82,2)&amp;")","")&amp;".")&amp;CHAR(10)&amp;IF('Our DOs'!G74&lt;&gt;"","We sent this Delivery Order"&amp;IF('Our DOs'!I74="Yes",", with the hospital's purchase order number,","")&amp;" on "&amp;'Our DOs'!G74&amp;IF('Our DOs'!H74&lt;&gt;""," by "&amp;LOWER('Our DOs'!H74),"")&amp;". The Delivery Order is available on request.","The Delivery Order is available on request."),"")</f>
      </c>
      <c r="N82" s="25">
        <f>IF(AND(OR(I82="Missing",I82="Differs"),K82&lt;&gt;"No"),1,0)</f>
      </c>
    </row>
    <row r="83" spans="1:14" x14ac:dyDescent="0.25">
      <c r="A83" s="19">
        <f>IF('Our DOs'!A75="","",'Our DOs'!A75)</f>
      </c>
      <c r="B83" s="19">
        <f>IF(A83="","",'Our DOs'!B75)</f>
      </c>
      <c r="C83" s="19">
        <f>IF(A83="","",'Our DOs'!C75)</f>
      </c>
      <c r="D83" s="19">
        <f>IF(A83="","",'Our DOs'!D75)</f>
      </c>
      <c r="E83" s="22">
        <f>IF(A83="","",'Our DOs'!E75)</f>
      </c>
      <c r="F83" s="22">
        <f>IF(A83="","",'Our DOs'!F75)</f>
      </c>
      <c r="G83" s="22">
        <f>IF(OR(A83="",B83=""),"",IFERROR(INDEX('Their statement'!$D$2:$D$201,MATCH(B83,'Their statement'!$A$2:$A$201,0)),""))</f>
      </c>
      <c r="H83" s="22">
        <f>IF(OR(A83="",B83=""),"",IFERROR(INDEX('Their statement'!$E$2:$E$201,MATCH(B83,'Their statement'!$A$2:$A$201,0)),""))</f>
      </c>
      <c r="I83" s="19">
        <f>IF(A83="","",IF(B83="","No PO yet",IF(ISNUMBER(MATCH(B83,'Their statement'!$A$2:$A$201,0)),IF(AND(ROUND(F83-IF(H83="",0,H83),2)=0,OR(G83="",ROUND(E83-IF(G83="",0,G83),2)=0)),"Matches","Differs"),"Missing")))</f>
      </c>
      <c r="J83" s="22">
        <f>IF(OR(I83="Missing",I83="Differs"),F83-IF(H83="",0,H83),"")</f>
      </c>
      <c r="K83" s="10"/>
      <c r="L83" s="23">
        <f>IF(N83=1,SUM($N$10:N83),"")</f>
      </c>
      <c r="M83" s="24">
        <f>IF(N83=1,"Customer PO "&amp;B83&amp;" · "&amp;C83&amp;" · case "&amp;D83&amp;CHAR(10)&amp;"Sales "&amp;DOLLAR(E83,2)&amp;" · commission "&amp;DOLLAR(F83,2)&amp;CHAR(10)&amp;IF(I83="Missing","Not on your "&amp;Setup!$B$5&amp;" commission statement.","Your statement shows commission "&amp;DOLLAR(IF(H83="",0,H83),2)&amp;" (ours "&amp;DOLLAR(F83,2)&amp;")"&amp;IF(AND(G83&lt;&gt;"",ROUND(E83-IF(G83="",0,G83),2)&lt;&gt;0),"; sales price "&amp;DOLLAR(IF(G83="",0,G83),2)&amp;" (ours "&amp;DOLLAR(E83,2)&amp;")","")&amp;".")&amp;CHAR(10)&amp;IF('Our DOs'!G75&lt;&gt;"","We sent this Delivery Order"&amp;IF('Our DOs'!I75="Yes",", with the hospital's purchase order number,","")&amp;" on "&amp;'Our DOs'!G75&amp;IF('Our DOs'!H75&lt;&gt;""," by "&amp;LOWER('Our DOs'!H75),"")&amp;". The Delivery Order is available on request.","The Delivery Order is available on request."),"")</f>
      </c>
      <c r="N83" s="25">
        <f>IF(AND(OR(I83="Missing",I83="Differs"),K83&lt;&gt;"No"),1,0)</f>
      </c>
    </row>
    <row r="84" spans="1:14" x14ac:dyDescent="0.25">
      <c r="A84" s="19">
        <f>IF('Our DOs'!A76="","",'Our DOs'!A76)</f>
      </c>
      <c r="B84" s="19">
        <f>IF(A84="","",'Our DOs'!B76)</f>
      </c>
      <c r="C84" s="19">
        <f>IF(A84="","",'Our DOs'!C76)</f>
      </c>
      <c r="D84" s="19">
        <f>IF(A84="","",'Our DOs'!D76)</f>
      </c>
      <c r="E84" s="22">
        <f>IF(A84="","",'Our DOs'!E76)</f>
      </c>
      <c r="F84" s="22">
        <f>IF(A84="","",'Our DOs'!F76)</f>
      </c>
      <c r="G84" s="22">
        <f>IF(OR(A84="",B84=""),"",IFERROR(INDEX('Their statement'!$D$2:$D$201,MATCH(B84,'Their statement'!$A$2:$A$201,0)),""))</f>
      </c>
      <c r="H84" s="22">
        <f>IF(OR(A84="",B84=""),"",IFERROR(INDEX('Their statement'!$E$2:$E$201,MATCH(B84,'Their statement'!$A$2:$A$201,0)),""))</f>
      </c>
      <c r="I84" s="19">
        <f>IF(A84="","",IF(B84="","No PO yet",IF(ISNUMBER(MATCH(B84,'Their statement'!$A$2:$A$201,0)),IF(AND(ROUND(F84-IF(H84="",0,H84),2)=0,OR(G84="",ROUND(E84-IF(G84="",0,G84),2)=0)),"Matches","Differs"),"Missing")))</f>
      </c>
      <c r="J84" s="22">
        <f>IF(OR(I84="Missing",I84="Differs"),F84-IF(H84="",0,H84),"")</f>
      </c>
      <c r="K84" s="10"/>
      <c r="L84" s="23">
        <f>IF(N84=1,SUM($N$10:N84),"")</f>
      </c>
      <c r="M84" s="24">
        <f>IF(N84=1,"Customer PO "&amp;B84&amp;" · "&amp;C84&amp;" · case "&amp;D84&amp;CHAR(10)&amp;"Sales "&amp;DOLLAR(E84,2)&amp;" · commission "&amp;DOLLAR(F84,2)&amp;CHAR(10)&amp;IF(I84="Missing","Not on your "&amp;Setup!$B$5&amp;" commission statement.","Your statement shows commission "&amp;DOLLAR(IF(H84="",0,H84),2)&amp;" (ours "&amp;DOLLAR(F84,2)&amp;")"&amp;IF(AND(G84&lt;&gt;"",ROUND(E84-IF(G84="",0,G84),2)&lt;&gt;0),"; sales price "&amp;DOLLAR(IF(G84="",0,G84),2)&amp;" (ours "&amp;DOLLAR(E84,2)&amp;")","")&amp;".")&amp;CHAR(10)&amp;IF('Our DOs'!G76&lt;&gt;"","We sent this Delivery Order"&amp;IF('Our DOs'!I76="Yes",", with the hospital's purchase order number,","")&amp;" on "&amp;'Our DOs'!G76&amp;IF('Our DOs'!H76&lt;&gt;""," by "&amp;LOWER('Our DOs'!H76),"")&amp;". The Delivery Order is available on request.","The Delivery Order is available on request."),"")</f>
      </c>
      <c r="N84" s="25">
        <f>IF(AND(OR(I84="Missing",I84="Differs"),K84&lt;&gt;"No"),1,0)</f>
      </c>
    </row>
    <row r="85" spans="1:14" x14ac:dyDescent="0.25">
      <c r="A85" s="19">
        <f>IF('Our DOs'!A77="","",'Our DOs'!A77)</f>
      </c>
      <c r="B85" s="19">
        <f>IF(A85="","",'Our DOs'!B77)</f>
      </c>
      <c r="C85" s="19">
        <f>IF(A85="","",'Our DOs'!C77)</f>
      </c>
      <c r="D85" s="19">
        <f>IF(A85="","",'Our DOs'!D77)</f>
      </c>
      <c r="E85" s="22">
        <f>IF(A85="","",'Our DOs'!E77)</f>
      </c>
      <c r="F85" s="22">
        <f>IF(A85="","",'Our DOs'!F77)</f>
      </c>
      <c r="G85" s="22">
        <f>IF(OR(A85="",B85=""),"",IFERROR(INDEX('Their statement'!$D$2:$D$201,MATCH(B85,'Their statement'!$A$2:$A$201,0)),""))</f>
      </c>
      <c r="H85" s="22">
        <f>IF(OR(A85="",B85=""),"",IFERROR(INDEX('Their statement'!$E$2:$E$201,MATCH(B85,'Their statement'!$A$2:$A$201,0)),""))</f>
      </c>
      <c r="I85" s="19">
        <f>IF(A85="","",IF(B85="","No PO yet",IF(ISNUMBER(MATCH(B85,'Their statement'!$A$2:$A$201,0)),IF(AND(ROUND(F85-IF(H85="",0,H85),2)=0,OR(G85="",ROUND(E85-IF(G85="",0,G85),2)=0)),"Matches","Differs"),"Missing")))</f>
      </c>
      <c r="J85" s="22">
        <f>IF(OR(I85="Missing",I85="Differs"),F85-IF(H85="",0,H85),"")</f>
      </c>
      <c r="K85" s="10"/>
      <c r="L85" s="23">
        <f>IF(N85=1,SUM($N$10:N85),"")</f>
      </c>
      <c r="M85" s="24">
        <f>IF(N85=1,"Customer PO "&amp;B85&amp;" · "&amp;C85&amp;" · case "&amp;D85&amp;CHAR(10)&amp;"Sales "&amp;DOLLAR(E85,2)&amp;" · commission "&amp;DOLLAR(F85,2)&amp;CHAR(10)&amp;IF(I85="Missing","Not on your "&amp;Setup!$B$5&amp;" commission statement.","Your statement shows commission "&amp;DOLLAR(IF(H85="",0,H85),2)&amp;" (ours "&amp;DOLLAR(F85,2)&amp;")"&amp;IF(AND(G85&lt;&gt;"",ROUND(E85-IF(G85="",0,G85),2)&lt;&gt;0),"; sales price "&amp;DOLLAR(IF(G85="",0,G85),2)&amp;" (ours "&amp;DOLLAR(E85,2)&amp;")","")&amp;".")&amp;CHAR(10)&amp;IF('Our DOs'!G77&lt;&gt;"","We sent this Delivery Order"&amp;IF('Our DOs'!I77="Yes",", with the hospital's purchase order number,","")&amp;" on "&amp;'Our DOs'!G77&amp;IF('Our DOs'!H77&lt;&gt;""," by "&amp;LOWER('Our DOs'!H77),"")&amp;". The Delivery Order is available on request.","The Delivery Order is available on request."),"")</f>
      </c>
      <c r="N85" s="25">
        <f>IF(AND(OR(I85="Missing",I85="Differs"),K85&lt;&gt;"No"),1,0)</f>
      </c>
    </row>
    <row r="86" spans="1:14" x14ac:dyDescent="0.25">
      <c r="A86" s="19">
        <f>IF('Our DOs'!A78="","",'Our DOs'!A78)</f>
      </c>
      <c r="B86" s="19">
        <f>IF(A86="","",'Our DOs'!B78)</f>
      </c>
      <c r="C86" s="19">
        <f>IF(A86="","",'Our DOs'!C78)</f>
      </c>
      <c r="D86" s="19">
        <f>IF(A86="","",'Our DOs'!D78)</f>
      </c>
      <c r="E86" s="22">
        <f>IF(A86="","",'Our DOs'!E78)</f>
      </c>
      <c r="F86" s="22">
        <f>IF(A86="","",'Our DOs'!F78)</f>
      </c>
      <c r="G86" s="22">
        <f>IF(OR(A86="",B86=""),"",IFERROR(INDEX('Their statement'!$D$2:$D$201,MATCH(B86,'Their statement'!$A$2:$A$201,0)),""))</f>
      </c>
      <c r="H86" s="22">
        <f>IF(OR(A86="",B86=""),"",IFERROR(INDEX('Their statement'!$E$2:$E$201,MATCH(B86,'Their statement'!$A$2:$A$201,0)),""))</f>
      </c>
      <c r="I86" s="19">
        <f>IF(A86="","",IF(B86="","No PO yet",IF(ISNUMBER(MATCH(B86,'Their statement'!$A$2:$A$201,0)),IF(AND(ROUND(F86-IF(H86="",0,H86),2)=0,OR(G86="",ROUND(E86-IF(G86="",0,G86),2)=0)),"Matches","Differs"),"Missing")))</f>
      </c>
      <c r="J86" s="22">
        <f>IF(OR(I86="Missing",I86="Differs"),F86-IF(H86="",0,H86),"")</f>
      </c>
      <c r="K86" s="10"/>
      <c r="L86" s="23">
        <f>IF(N86=1,SUM($N$10:N86),"")</f>
      </c>
      <c r="M86" s="24">
        <f>IF(N86=1,"Customer PO "&amp;B86&amp;" · "&amp;C86&amp;" · case "&amp;D86&amp;CHAR(10)&amp;"Sales "&amp;DOLLAR(E86,2)&amp;" · commission "&amp;DOLLAR(F86,2)&amp;CHAR(10)&amp;IF(I86="Missing","Not on your "&amp;Setup!$B$5&amp;" commission statement.","Your statement shows commission "&amp;DOLLAR(IF(H86="",0,H86),2)&amp;" (ours "&amp;DOLLAR(F86,2)&amp;")"&amp;IF(AND(G86&lt;&gt;"",ROUND(E86-IF(G86="",0,G86),2)&lt;&gt;0),"; sales price "&amp;DOLLAR(IF(G86="",0,G86),2)&amp;" (ours "&amp;DOLLAR(E86,2)&amp;")","")&amp;".")&amp;CHAR(10)&amp;IF('Our DOs'!G78&lt;&gt;"","We sent this Delivery Order"&amp;IF('Our DOs'!I78="Yes",", with the hospital's purchase order number,","")&amp;" on "&amp;'Our DOs'!G78&amp;IF('Our DOs'!H78&lt;&gt;""," by "&amp;LOWER('Our DOs'!H78),"")&amp;". The Delivery Order is available on request.","The Delivery Order is available on request."),"")</f>
      </c>
      <c r="N86" s="25">
        <f>IF(AND(OR(I86="Missing",I86="Differs"),K86&lt;&gt;"No"),1,0)</f>
      </c>
    </row>
    <row r="87" spans="1:14" x14ac:dyDescent="0.25">
      <c r="A87" s="19">
        <f>IF('Our DOs'!A79="","",'Our DOs'!A79)</f>
      </c>
      <c r="B87" s="19">
        <f>IF(A87="","",'Our DOs'!B79)</f>
      </c>
      <c r="C87" s="19">
        <f>IF(A87="","",'Our DOs'!C79)</f>
      </c>
      <c r="D87" s="19">
        <f>IF(A87="","",'Our DOs'!D79)</f>
      </c>
      <c r="E87" s="22">
        <f>IF(A87="","",'Our DOs'!E79)</f>
      </c>
      <c r="F87" s="22">
        <f>IF(A87="","",'Our DOs'!F79)</f>
      </c>
      <c r="G87" s="22">
        <f>IF(OR(A87="",B87=""),"",IFERROR(INDEX('Their statement'!$D$2:$D$201,MATCH(B87,'Their statement'!$A$2:$A$201,0)),""))</f>
      </c>
      <c r="H87" s="22">
        <f>IF(OR(A87="",B87=""),"",IFERROR(INDEX('Their statement'!$E$2:$E$201,MATCH(B87,'Their statement'!$A$2:$A$201,0)),""))</f>
      </c>
      <c r="I87" s="19">
        <f>IF(A87="","",IF(B87="","No PO yet",IF(ISNUMBER(MATCH(B87,'Their statement'!$A$2:$A$201,0)),IF(AND(ROUND(F87-IF(H87="",0,H87),2)=0,OR(G87="",ROUND(E87-IF(G87="",0,G87),2)=0)),"Matches","Differs"),"Missing")))</f>
      </c>
      <c r="J87" s="22">
        <f>IF(OR(I87="Missing",I87="Differs"),F87-IF(H87="",0,H87),"")</f>
      </c>
      <c r="K87" s="10"/>
      <c r="L87" s="23">
        <f>IF(N87=1,SUM($N$10:N87),"")</f>
      </c>
      <c r="M87" s="24">
        <f>IF(N87=1,"Customer PO "&amp;B87&amp;" · "&amp;C87&amp;" · case "&amp;D87&amp;CHAR(10)&amp;"Sales "&amp;DOLLAR(E87,2)&amp;" · commission "&amp;DOLLAR(F87,2)&amp;CHAR(10)&amp;IF(I87="Missing","Not on your "&amp;Setup!$B$5&amp;" commission statement.","Your statement shows commission "&amp;DOLLAR(IF(H87="",0,H87),2)&amp;" (ours "&amp;DOLLAR(F87,2)&amp;")"&amp;IF(AND(G87&lt;&gt;"",ROUND(E87-IF(G87="",0,G87),2)&lt;&gt;0),"; sales price "&amp;DOLLAR(IF(G87="",0,G87),2)&amp;" (ours "&amp;DOLLAR(E87,2)&amp;")","")&amp;".")&amp;CHAR(10)&amp;IF('Our DOs'!G79&lt;&gt;"","We sent this Delivery Order"&amp;IF('Our DOs'!I79="Yes",", with the hospital's purchase order number,","")&amp;" on "&amp;'Our DOs'!G79&amp;IF('Our DOs'!H79&lt;&gt;""," by "&amp;LOWER('Our DOs'!H79),"")&amp;". The Delivery Order is available on request.","The Delivery Order is available on request."),"")</f>
      </c>
      <c r="N87" s="25">
        <f>IF(AND(OR(I87="Missing",I87="Differs"),K87&lt;&gt;"No"),1,0)</f>
      </c>
    </row>
    <row r="88" spans="1:14" x14ac:dyDescent="0.25">
      <c r="A88" s="19">
        <f>IF('Our DOs'!A80="","",'Our DOs'!A80)</f>
      </c>
      <c r="B88" s="19">
        <f>IF(A88="","",'Our DOs'!B80)</f>
      </c>
      <c r="C88" s="19">
        <f>IF(A88="","",'Our DOs'!C80)</f>
      </c>
      <c r="D88" s="19">
        <f>IF(A88="","",'Our DOs'!D80)</f>
      </c>
      <c r="E88" s="22">
        <f>IF(A88="","",'Our DOs'!E80)</f>
      </c>
      <c r="F88" s="22">
        <f>IF(A88="","",'Our DOs'!F80)</f>
      </c>
      <c r="G88" s="22">
        <f>IF(OR(A88="",B88=""),"",IFERROR(INDEX('Their statement'!$D$2:$D$201,MATCH(B88,'Their statement'!$A$2:$A$201,0)),""))</f>
      </c>
      <c r="H88" s="22">
        <f>IF(OR(A88="",B88=""),"",IFERROR(INDEX('Their statement'!$E$2:$E$201,MATCH(B88,'Their statement'!$A$2:$A$201,0)),""))</f>
      </c>
      <c r="I88" s="19">
        <f>IF(A88="","",IF(B88="","No PO yet",IF(ISNUMBER(MATCH(B88,'Their statement'!$A$2:$A$201,0)),IF(AND(ROUND(F88-IF(H88="",0,H88),2)=0,OR(G88="",ROUND(E88-IF(G88="",0,G88),2)=0)),"Matches","Differs"),"Missing")))</f>
      </c>
      <c r="J88" s="22">
        <f>IF(OR(I88="Missing",I88="Differs"),F88-IF(H88="",0,H88),"")</f>
      </c>
      <c r="K88" s="10"/>
      <c r="L88" s="23">
        <f>IF(N88=1,SUM($N$10:N88),"")</f>
      </c>
      <c r="M88" s="24">
        <f>IF(N88=1,"Customer PO "&amp;B88&amp;" · "&amp;C88&amp;" · case "&amp;D88&amp;CHAR(10)&amp;"Sales "&amp;DOLLAR(E88,2)&amp;" · commission "&amp;DOLLAR(F88,2)&amp;CHAR(10)&amp;IF(I88="Missing","Not on your "&amp;Setup!$B$5&amp;" commission statement.","Your statement shows commission "&amp;DOLLAR(IF(H88="",0,H88),2)&amp;" (ours "&amp;DOLLAR(F88,2)&amp;")"&amp;IF(AND(G88&lt;&gt;"",ROUND(E88-IF(G88="",0,G88),2)&lt;&gt;0),"; sales price "&amp;DOLLAR(IF(G88="",0,G88),2)&amp;" (ours "&amp;DOLLAR(E88,2)&amp;")","")&amp;".")&amp;CHAR(10)&amp;IF('Our DOs'!G80&lt;&gt;"","We sent this Delivery Order"&amp;IF('Our DOs'!I80="Yes",", with the hospital's purchase order number,","")&amp;" on "&amp;'Our DOs'!G80&amp;IF('Our DOs'!H80&lt;&gt;""," by "&amp;LOWER('Our DOs'!H80),"")&amp;". The Delivery Order is available on request.","The Delivery Order is available on request."),"")</f>
      </c>
      <c r="N88" s="25">
        <f>IF(AND(OR(I88="Missing",I88="Differs"),K88&lt;&gt;"No"),1,0)</f>
      </c>
    </row>
    <row r="89" spans="1:14" x14ac:dyDescent="0.25">
      <c r="A89" s="19">
        <f>IF('Our DOs'!A81="","",'Our DOs'!A81)</f>
      </c>
      <c r="B89" s="19">
        <f>IF(A89="","",'Our DOs'!B81)</f>
      </c>
      <c r="C89" s="19">
        <f>IF(A89="","",'Our DOs'!C81)</f>
      </c>
      <c r="D89" s="19">
        <f>IF(A89="","",'Our DOs'!D81)</f>
      </c>
      <c r="E89" s="22">
        <f>IF(A89="","",'Our DOs'!E81)</f>
      </c>
      <c r="F89" s="22">
        <f>IF(A89="","",'Our DOs'!F81)</f>
      </c>
      <c r="G89" s="22">
        <f>IF(OR(A89="",B89=""),"",IFERROR(INDEX('Their statement'!$D$2:$D$201,MATCH(B89,'Their statement'!$A$2:$A$201,0)),""))</f>
      </c>
      <c r="H89" s="22">
        <f>IF(OR(A89="",B89=""),"",IFERROR(INDEX('Their statement'!$E$2:$E$201,MATCH(B89,'Their statement'!$A$2:$A$201,0)),""))</f>
      </c>
      <c r="I89" s="19">
        <f>IF(A89="","",IF(B89="","No PO yet",IF(ISNUMBER(MATCH(B89,'Their statement'!$A$2:$A$201,0)),IF(AND(ROUND(F89-IF(H89="",0,H89),2)=0,OR(G89="",ROUND(E89-IF(G89="",0,G89),2)=0)),"Matches","Differs"),"Missing")))</f>
      </c>
      <c r="J89" s="22">
        <f>IF(OR(I89="Missing",I89="Differs"),F89-IF(H89="",0,H89),"")</f>
      </c>
      <c r="K89" s="10"/>
      <c r="L89" s="23">
        <f>IF(N89=1,SUM($N$10:N89),"")</f>
      </c>
      <c r="M89" s="24">
        <f>IF(N89=1,"Customer PO "&amp;B89&amp;" · "&amp;C89&amp;" · case "&amp;D89&amp;CHAR(10)&amp;"Sales "&amp;DOLLAR(E89,2)&amp;" · commission "&amp;DOLLAR(F89,2)&amp;CHAR(10)&amp;IF(I89="Missing","Not on your "&amp;Setup!$B$5&amp;" commission statement.","Your statement shows commission "&amp;DOLLAR(IF(H89="",0,H89),2)&amp;" (ours "&amp;DOLLAR(F89,2)&amp;")"&amp;IF(AND(G89&lt;&gt;"",ROUND(E89-IF(G89="",0,G89),2)&lt;&gt;0),"; sales price "&amp;DOLLAR(IF(G89="",0,G89),2)&amp;" (ours "&amp;DOLLAR(E89,2)&amp;")","")&amp;".")&amp;CHAR(10)&amp;IF('Our DOs'!G81&lt;&gt;"","We sent this Delivery Order"&amp;IF('Our DOs'!I81="Yes",", with the hospital's purchase order number,","")&amp;" on "&amp;'Our DOs'!G81&amp;IF('Our DOs'!H81&lt;&gt;""," by "&amp;LOWER('Our DOs'!H81),"")&amp;". The Delivery Order is available on request.","The Delivery Order is available on request."),"")</f>
      </c>
      <c r="N89" s="25">
        <f>IF(AND(OR(I89="Missing",I89="Differs"),K89&lt;&gt;"No"),1,0)</f>
      </c>
    </row>
    <row r="90" spans="1:14" x14ac:dyDescent="0.25">
      <c r="A90" s="19">
        <f>IF('Our DOs'!A82="","",'Our DOs'!A82)</f>
      </c>
      <c r="B90" s="19">
        <f>IF(A90="","",'Our DOs'!B82)</f>
      </c>
      <c r="C90" s="19">
        <f>IF(A90="","",'Our DOs'!C82)</f>
      </c>
      <c r="D90" s="19">
        <f>IF(A90="","",'Our DOs'!D82)</f>
      </c>
      <c r="E90" s="22">
        <f>IF(A90="","",'Our DOs'!E82)</f>
      </c>
      <c r="F90" s="22">
        <f>IF(A90="","",'Our DOs'!F82)</f>
      </c>
      <c r="G90" s="22">
        <f>IF(OR(A90="",B90=""),"",IFERROR(INDEX('Their statement'!$D$2:$D$201,MATCH(B90,'Their statement'!$A$2:$A$201,0)),""))</f>
      </c>
      <c r="H90" s="22">
        <f>IF(OR(A90="",B90=""),"",IFERROR(INDEX('Their statement'!$E$2:$E$201,MATCH(B90,'Their statement'!$A$2:$A$201,0)),""))</f>
      </c>
      <c r="I90" s="19">
        <f>IF(A90="","",IF(B90="","No PO yet",IF(ISNUMBER(MATCH(B90,'Their statement'!$A$2:$A$201,0)),IF(AND(ROUND(F90-IF(H90="",0,H90),2)=0,OR(G90="",ROUND(E90-IF(G90="",0,G90),2)=0)),"Matches","Differs"),"Missing")))</f>
      </c>
      <c r="J90" s="22">
        <f>IF(OR(I90="Missing",I90="Differs"),F90-IF(H90="",0,H90),"")</f>
      </c>
      <c r="K90" s="10"/>
      <c r="L90" s="23">
        <f>IF(N90=1,SUM($N$10:N90),"")</f>
      </c>
      <c r="M90" s="24">
        <f>IF(N90=1,"Customer PO "&amp;B90&amp;" · "&amp;C90&amp;" · case "&amp;D90&amp;CHAR(10)&amp;"Sales "&amp;DOLLAR(E90,2)&amp;" · commission "&amp;DOLLAR(F90,2)&amp;CHAR(10)&amp;IF(I90="Missing","Not on your "&amp;Setup!$B$5&amp;" commission statement.","Your statement shows commission "&amp;DOLLAR(IF(H90="",0,H90),2)&amp;" (ours "&amp;DOLLAR(F90,2)&amp;")"&amp;IF(AND(G90&lt;&gt;"",ROUND(E90-IF(G90="",0,G90),2)&lt;&gt;0),"; sales price "&amp;DOLLAR(IF(G90="",0,G90),2)&amp;" (ours "&amp;DOLLAR(E90,2)&amp;")","")&amp;".")&amp;CHAR(10)&amp;IF('Our DOs'!G82&lt;&gt;"","We sent this Delivery Order"&amp;IF('Our DOs'!I82="Yes",", with the hospital's purchase order number,","")&amp;" on "&amp;'Our DOs'!G82&amp;IF('Our DOs'!H82&lt;&gt;""," by "&amp;LOWER('Our DOs'!H82),"")&amp;". The Delivery Order is available on request.","The Delivery Order is available on request."),"")</f>
      </c>
      <c r="N90" s="25">
        <f>IF(AND(OR(I90="Missing",I90="Differs"),K90&lt;&gt;"No"),1,0)</f>
      </c>
    </row>
    <row r="91" spans="1:14" x14ac:dyDescent="0.25">
      <c r="A91" s="19">
        <f>IF('Our DOs'!A83="","",'Our DOs'!A83)</f>
      </c>
      <c r="B91" s="19">
        <f>IF(A91="","",'Our DOs'!B83)</f>
      </c>
      <c r="C91" s="19">
        <f>IF(A91="","",'Our DOs'!C83)</f>
      </c>
      <c r="D91" s="19">
        <f>IF(A91="","",'Our DOs'!D83)</f>
      </c>
      <c r="E91" s="22">
        <f>IF(A91="","",'Our DOs'!E83)</f>
      </c>
      <c r="F91" s="22">
        <f>IF(A91="","",'Our DOs'!F83)</f>
      </c>
      <c r="G91" s="22">
        <f>IF(OR(A91="",B91=""),"",IFERROR(INDEX('Their statement'!$D$2:$D$201,MATCH(B91,'Their statement'!$A$2:$A$201,0)),""))</f>
      </c>
      <c r="H91" s="22">
        <f>IF(OR(A91="",B91=""),"",IFERROR(INDEX('Their statement'!$E$2:$E$201,MATCH(B91,'Their statement'!$A$2:$A$201,0)),""))</f>
      </c>
      <c r="I91" s="19">
        <f>IF(A91="","",IF(B91="","No PO yet",IF(ISNUMBER(MATCH(B91,'Their statement'!$A$2:$A$201,0)),IF(AND(ROUND(F91-IF(H91="",0,H91),2)=0,OR(G91="",ROUND(E91-IF(G91="",0,G91),2)=0)),"Matches","Differs"),"Missing")))</f>
      </c>
      <c r="J91" s="22">
        <f>IF(OR(I91="Missing",I91="Differs"),F91-IF(H91="",0,H91),"")</f>
      </c>
      <c r="K91" s="10"/>
      <c r="L91" s="23">
        <f>IF(N91=1,SUM($N$10:N91),"")</f>
      </c>
      <c r="M91" s="24">
        <f>IF(N91=1,"Customer PO "&amp;B91&amp;" · "&amp;C91&amp;" · case "&amp;D91&amp;CHAR(10)&amp;"Sales "&amp;DOLLAR(E91,2)&amp;" · commission "&amp;DOLLAR(F91,2)&amp;CHAR(10)&amp;IF(I91="Missing","Not on your "&amp;Setup!$B$5&amp;" commission statement.","Your statement shows commission "&amp;DOLLAR(IF(H91="",0,H91),2)&amp;" (ours "&amp;DOLLAR(F91,2)&amp;")"&amp;IF(AND(G91&lt;&gt;"",ROUND(E91-IF(G91="",0,G91),2)&lt;&gt;0),"; sales price "&amp;DOLLAR(IF(G91="",0,G91),2)&amp;" (ours "&amp;DOLLAR(E91,2)&amp;")","")&amp;".")&amp;CHAR(10)&amp;IF('Our DOs'!G83&lt;&gt;"","We sent this Delivery Order"&amp;IF('Our DOs'!I83="Yes",", with the hospital's purchase order number,","")&amp;" on "&amp;'Our DOs'!G83&amp;IF('Our DOs'!H83&lt;&gt;""," by "&amp;LOWER('Our DOs'!H83),"")&amp;". The Delivery Order is available on request.","The Delivery Order is available on request."),"")</f>
      </c>
      <c r="N91" s="25">
        <f>IF(AND(OR(I91="Missing",I91="Differs"),K91&lt;&gt;"No"),1,0)</f>
      </c>
    </row>
    <row r="92" spans="1:14" x14ac:dyDescent="0.25">
      <c r="A92" s="19">
        <f>IF('Our DOs'!A84="","",'Our DOs'!A84)</f>
      </c>
      <c r="B92" s="19">
        <f>IF(A92="","",'Our DOs'!B84)</f>
      </c>
      <c r="C92" s="19">
        <f>IF(A92="","",'Our DOs'!C84)</f>
      </c>
      <c r="D92" s="19">
        <f>IF(A92="","",'Our DOs'!D84)</f>
      </c>
      <c r="E92" s="22">
        <f>IF(A92="","",'Our DOs'!E84)</f>
      </c>
      <c r="F92" s="22">
        <f>IF(A92="","",'Our DOs'!F84)</f>
      </c>
      <c r="G92" s="22">
        <f>IF(OR(A92="",B92=""),"",IFERROR(INDEX('Their statement'!$D$2:$D$201,MATCH(B92,'Their statement'!$A$2:$A$201,0)),""))</f>
      </c>
      <c r="H92" s="22">
        <f>IF(OR(A92="",B92=""),"",IFERROR(INDEX('Their statement'!$E$2:$E$201,MATCH(B92,'Their statement'!$A$2:$A$201,0)),""))</f>
      </c>
      <c r="I92" s="19">
        <f>IF(A92="","",IF(B92="","No PO yet",IF(ISNUMBER(MATCH(B92,'Their statement'!$A$2:$A$201,0)),IF(AND(ROUND(F92-IF(H92="",0,H92),2)=0,OR(G92="",ROUND(E92-IF(G92="",0,G92),2)=0)),"Matches","Differs"),"Missing")))</f>
      </c>
      <c r="J92" s="22">
        <f>IF(OR(I92="Missing",I92="Differs"),F92-IF(H92="",0,H92),"")</f>
      </c>
      <c r="K92" s="10"/>
      <c r="L92" s="23">
        <f>IF(N92=1,SUM($N$10:N92),"")</f>
      </c>
      <c r="M92" s="24">
        <f>IF(N92=1,"Customer PO "&amp;B92&amp;" · "&amp;C92&amp;" · case "&amp;D92&amp;CHAR(10)&amp;"Sales "&amp;DOLLAR(E92,2)&amp;" · commission "&amp;DOLLAR(F92,2)&amp;CHAR(10)&amp;IF(I92="Missing","Not on your "&amp;Setup!$B$5&amp;" commission statement.","Your statement shows commission "&amp;DOLLAR(IF(H92="",0,H92),2)&amp;" (ours "&amp;DOLLAR(F92,2)&amp;")"&amp;IF(AND(G92&lt;&gt;"",ROUND(E92-IF(G92="",0,G92),2)&lt;&gt;0),"; sales price "&amp;DOLLAR(IF(G92="",0,G92),2)&amp;" (ours "&amp;DOLLAR(E92,2)&amp;")","")&amp;".")&amp;CHAR(10)&amp;IF('Our DOs'!G84&lt;&gt;"","We sent this Delivery Order"&amp;IF('Our DOs'!I84="Yes",", with the hospital's purchase order number,","")&amp;" on "&amp;'Our DOs'!G84&amp;IF('Our DOs'!H84&lt;&gt;""," by "&amp;LOWER('Our DOs'!H84),"")&amp;". The Delivery Order is available on request.","The Delivery Order is available on request."),"")</f>
      </c>
      <c r="N92" s="25">
        <f>IF(AND(OR(I92="Missing",I92="Differs"),K92&lt;&gt;"No"),1,0)</f>
      </c>
    </row>
    <row r="93" spans="1:14" x14ac:dyDescent="0.25">
      <c r="A93" s="19">
        <f>IF('Our DOs'!A85="","",'Our DOs'!A85)</f>
      </c>
      <c r="B93" s="19">
        <f>IF(A93="","",'Our DOs'!B85)</f>
      </c>
      <c r="C93" s="19">
        <f>IF(A93="","",'Our DOs'!C85)</f>
      </c>
      <c r="D93" s="19">
        <f>IF(A93="","",'Our DOs'!D85)</f>
      </c>
      <c r="E93" s="22">
        <f>IF(A93="","",'Our DOs'!E85)</f>
      </c>
      <c r="F93" s="22">
        <f>IF(A93="","",'Our DOs'!F85)</f>
      </c>
      <c r="G93" s="22">
        <f>IF(OR(A93="",B93=""),"",IFERROR(INDEX('Their statement'!$D$2:$D$201,MATCH(B93,'Their statement'!$A$2:$A$201,0)),""))</f>
      </c>
      <c r="H93" s="22">
        <f>IF(OR(A93="",B93=""),"",IFERROR(INDEX('Their statement'!$E$2:$E$201,MATCH(B93,'Their statement'!$A$2:$A$201,0)),""))</f>
      </c>
      <c r="I93" s="19">
        <f>IF(A93="","",IF(B93="","No PO yet",IF(ISNUMBER(MATCH(B93,'Their statement'!$A$2:$A$201,0)),IF(AND(ROUND(F93-IF(H93="",0,H93),2)=0,OR(G93="",ROUND(E93-IF(G93="",0,G93),2)=0)),"Matches","Differs"),"Missing")))</f>
      </c>
      <c r="J93" s="22">
        <f>IF(OR(I93="Missing",I93="Differs"),F93-IF(H93="",0,H93),"")</f>
      </c>
      <c r="K93" s="10"/>
      <c r="L93" s="23">
        <f>IF(N93=1,SUM($N$10:N93),"")</f>
      </c>
      <c r="M93" s="24">
        <f>IF(N93=1,"Customer PO "&amp;B93&amp;" · "&amp;C93&amp;" · case "&amp;D93&amp;CHAR(10)&amp;"Sales "&amp;DOLLAR(E93,2)&amp;" · commission "&amp;DOLLAR(F93,2)&amp;CHAR(10)&amp;IF(I93="Missing","Not on your "&amp;Setup!$B$5&amp;" commission statement.","Your statement shows commission "&amp;DOLLAR(IF(H93="",0,H93),2)&amp;" (ours "&amp;DOLLAR(F93,2)&amp;")"&amp;IF(AND(G93&lt;&gt;"",ROUND(E93-IF(G93="",0,G93),2)&lt;&gt;0),"; sales price "&amp;DOLLAR(IF(G93="",0,G93),2)&amp;" (ours "&amp;DOLLAR(E93,2)&amp;")","")&amp;".")&amp;CHAR(10)&amp;IF('Our DOs'!G85&lt;&gt;"","We sent this Delivery Order"&amp;IF('Our DOs'!I85="Yes",", with the hospital's purchase order number,","")&amp;" on "&amp;'Our DOs'!G85&amp;IF('Our DOs'!H85&lt;&gt;""," by "&amp;LOWER('Our DOs'!H85),"")&amp;". The Delivery Order is available on request.","The Delivery Order is available on request."),"")</f>
      </c>
      <c r="N93" s="25">
        <f>IF(AND(OR(I93="Missing",I93="Differs"),K93&lt;&gt;"No"),1,0)</f>
      </c>
    </row>
    <row r="94" spans="1:14" x14ac:dyDescent="0.25">
      <c r="A94" s="19">
        <f>IF('Our DOs'!A86="","",'Our DOs'!A86)</f>
      </c>
      <c r="B94" s="19">
        <f>IF(A94="","",'Our DOs'!B86)</f>
      </c>
      <c r="C94" s="19">
        <f>IF(A94="","",'Our DOs'!C86)</f>
      </c>
      <c r="D94" s="19">
        <f>IF(A94="","",'Our DOs'!D86)</f>
      </c>
      <c r="E94" s="22">
        <f>IF(A94="","",'Our DOs'!E86)</f>
      </c>
      <c r="F94" s="22">
        <f>IF(A94="","",'Our DOs'!F86)</f>
      </c>
      <c r="G94" s="22">
        <f>IF(OR(A94="",B94=""),"",IFERROR(INDEX('Their statement'!$D$2:$D$201,MATCH(B94,'Their statement'!$A$2:$A$201,0)),""))</f>
      </c>
      <c r="H94" s="22">
        <f>IF(OR(A94="",B94=""),"",IFERROR(INDEX('Their statement'!$E$2:$E$201,MATCH(B94,'Their statement'!$A$2:$A$201,0)),""))</f>
      </c>
      <c r="I94" s="19">
        <f>IF(A94="","",IF(B94="","No PO yet",IF(ISNUMBER(MATCH(B94,'Their statement'!$A$2:$A$201,0)),IF(AND(ROUND(F94-IF(H94="",0,H94),2)=0,OR(G94="",ROUND(E94-IF(G94="",0,G94),2)=0)),"Matches","Differs"),"Missing")))</f>
      </c>
      <c r="J94" s="22">
        <f>IF(OR(I94="Missing",I94="Differs"),F94-IF(H94="",0,H94),"")</f>
      </c>
      <c r="K94" s="10"/>
      <c r="L94" s="23">
        <f>IF(N94=1,SUM($N$10:N94),"")</f>
      </c>
      <c r="M94" s="24">
        <f>IF(N94=1,"Customer PO "&amp;B94&amp;" · "&amp;C94&amp;" · case "&amp;D94&amp;CHAR(10)&amp;"Sales "&amp;DOLLAR(E94,2)&amp;" · commission "&amp;DOLLAR(F94,2)&amp;CHAR(10)&amp;IF(I94="Missing","Not on your "&amp;Setup!$B$5&amp;" commission statement.","Your statement shows commission "&amp;DOLLAR(IF(H94="",0,H94),2)&amp;" (ours "&amp;DOLLAR(F94,2)&amp;")"&amp;IF(AND(G94&lt;&gt;"",ROUND(E94-IF(G94="",0,G94),2)&lt;&gt;0),"; sales price "&amp;DOLLAR(IF(G94="",0,G94),2)&amp;" (ours "&amp;DOLLAR(E94,2)&amp;")","")&amp;".")&amp;CHAR(10)&amp;IF('Our DOs'!G86&lt;&gt;"","We sent this Delivery Order"&amp;IF('Our DOs'!I86="Yes",", with the hospital's purchase order number,","")&amp;" on "&amp;'Our DOs'!G86&amp;IF('Our DOs'!H86&lt;&gt;""," by "&amp;LOWER('Our DOs'!H86),"")&amp;". The Delivery Order is available on request.","The Delivery Order is available on request."),"")</f>
      </c>
      <c r="N94" s="25">
        <f>IF(AND(OR(I94="Missing",I94="Differs"),K94&lt;&gt;"No"),1,0)</f>
      </c>
    </row>
    <row r="95" spans="1:14" x14ac:dyDescent="0.25">
      <c r="A95" s="19">
        <f>IF('Our DOs'!A87="","",'Our DOs'!A87)</f>
      </c>
      <c r="B95" s="19">
        <f>IF(A95="","",'Our DOs'!B87)</f>
      </c>
      <c r="C95" s="19">
        <f>IF(A95="","",'Our DOs'!C87)</f>
      </c>
      <c r="D95" s="19">
        <f>IF(A95="","",'Our DOs'!D87)</f>
      </c>
      <c r="E95" s="22">
        <f>IF(A95="","",'Our DOs'!E87)</f>
      </c>
      <c r="F95" s="22">
        <f>IF(A95="","",'Our DOs'!F87)</f>
      </c>
      <c r="G95" s="22">
        <f>IF(OR(A95="",B95=""),"",IFERROR(INDEX('Their statement'!$D$2:$D$201,MATCH(B95,'Their statement'!$A$2:$A$201,0)),""))</f>
      </c>
      <c r="H95" s="22">
        <f>IF(OR(A95="",B95=""),"",IFERROR(INDEX('Their statement'!$E$2:$E$201,MATCH(B95,'Their statement'!$A$2:$A$201,0)),""))</f>
      </c>
      <c r="I95" s="19">
        <f>IF(A95="","",IF(B95="","No PO yet",IF(ISNUMBER(MATCH(B95,'Their statement'!$A$2:$A$201,0)),IF(AND(ROUND(F95-IF(H95="",0,H95),2)=0,OR(G95="",ROUND(E95-IF(G95="",0,G95),2)=0)),"Matches","Differs"),"Missing")))</f>
      </c>
      <c r="J95" s="22">
        <f>IF(OR(I95="Missing",I95="Differs"),F95-IF(H95="",0,H95),"")</f>
      </c>
      <c r="K95" s="10"/>
      <c r="L95" s="23">
        <f>IF(N95=1,SUM($N$10:N95),"")</f>
      </c>
      <c r="M95" s="24">
        <f>IF(N95=1,"Customer PO "&amp;B95&amp;" · "&amp;C95&amp;" · case "&amp;D95&amp;CHAR(10)&amp;"Sales "&amp;DOLLAR(E95,2)&amp;" · commission "&amp;DOLLAR(F95,2)&amp;CHAR(10)&amp;IF(I95="Missing","Not on your "&amp;Setup!$B$5&amp;" commission statement.","Your statement shows commission "&amp;DOLLAR(IF(H95="",0,H95),2)&amp;" (ours "&amp;DOLLAR(F95,2)&amp;")"&amp;IF(AND(G95&lt;&gt;"",ROUND(E95-IF(G95="",0,G95),2)&lt;&gt;0),"; sales price "&amp;DOLLAR(IF(G95="",0,G95),2)&amp;" (ours "&amp;DOLLAR(E95,2)&amp;")","")&amp;".")&amp;CHAR(10)&amp;IF('Our DOs'!G87&lt;&gt;"","We sent this Delivery Order"&amp;IF('Our DOs'!I87="Yes",", with the hospital's purchase order number,","")&amp;" on "&amp;'Our DOs'!G87&amp;IF('Our DOs'!H87&lt;&gt;""," by "&amp;LOWER('Our DOs'!H87),"")&amp;". The Delivery Order is available on request.","The Delivery Order is available on request."),"")</f>
      </c>
      <c r="N95" s="25">
        <f>IF(AND(OR(I95="Missing",I95="Differs"),K95&lt;&gt;"No"),1,0)</f>
      </c>
    </row>
    <row r="96" spans="1:14" x14ac:dyDescent="0.25">
      <c r="A96" s="19">
        <f>IF('Our DOs'!A88="","",'Our DOs'!A88)</f>
      </c>
      <c r="B96" s="19">
        <f>IF(A96="","",'Our DOs'!B88)</f>
      </c>
      <c r="C96" s="19">
        <f>IF(A96="","",'Our DOs'!C88)</f>
      </c>
      <c r="D96" s="19">
        <f>IF(A96="","",'Our DOs'!D88)</f>
      </c>
      <c r="E96" s="22">
        <f>IF(A96="","",'Our DOs'!E88)</f>
      </c>
      <c r="F96" s="22">
        <f>IF(A96="","",'Our DOs'!F88)</f>
      </c>
      <c r="G96" s="22">
        <f>IF(OR(A96="",B96=""),"",IFERROR(INDEX('Their statement'!$D$2:$D$201,MATCH(B96,'Their statement'!$A$2:$A$201,0)),""))</f>
      </c>
      <c r="H96" s="22">
        <f>IF(OR(A96="",B96=""),"",IFERROR(INDEX('Their statement'!$E$2:$E$201,MATCH(B96,'Their statement'!$A$2:$A$201,0)),""))</f>
      </c>
      <c r="I96" s="19">
        <f>IF(A96="","",IF(B96="","No PO yet",IF(ISNUMBER(MATCH(B96,'Their statement'!$A$2:$A$201,0)),IF(AND(ROUND(F96-IF(H96="",0,H96),2)=0,OR(G96="",ROUND(E96-IF(G96="",0,G96),2)=0)),"Matches","Differs"),"Missing")))</f>
      </c>
      <c r="J96" s="22">
        <f>IF(OR(I96="Missing",I96="Differs"),F96-IF(H96="",0,H96),"")</f>
      </c>
      <c r="K96" s="10"/>
      <c r="L96" s="23">
        <f>IF(N96=1,SUM($N$10:N96),"")</f>
      </c>
      <c r="M96" s="24">
        <f>IF(N96=1,"Customer PO "&amp;B96&amp;" · "&amp;C96&amp;" · case "&amp;D96&amp;CHAR(10)&amp;"Sales "&amp;DOLLAR(E96,2)&amp;" · commission "&amp;DOLLAR(F96,2)&amp;CHAR(10)&amp;IF(I96="Missing","Not on your "&amp;Setup!$B$5&amp;" commission statement.","Your statement shows commission "&amp;DOLLAR(IF(H96="",0,H96),2)&amp;" (ours "&amp;DOLLAR(F96,2)&amp;")"&amp;IF(AND(G96&lt;&gt;"",ROUND(E96-IF(G96="",0,G96),2)&lt;&gt;0),"; sales price "&amp;DOLLAR(IF(G96="",0,G96),2)&amp;" (ours "&amp;DOLLAR(E96,2)&amp;")","")&amp;".")&amp;CHAR(10)&amp;IF('Our DOs'!G88&lt;&gt;"","We sent this Delivery Order"&amp;IF('Our DOs'!I88="Yes",", with the hospital's purchase order number,","")&amp;" on "&amp;'Our DOs'!G88&amp;IF('Our DOs'!H88&lt;&gt;""," by "&amp;LOWER('Our DOs'!H88),"")&amp;". The Delivery Order is available on request.","The Delivery Order is available on request."),"")</f>
      </c>
      <c r="N96" s="25">
        <f>IF(AND(OR(I96="Missing",I96="Differs"),K96&lt;&gt;"No"),1,0)</f>
      </c>
    </row>
    <row r="97" spans="1:14" x14ac:dyDescent="0.25">
      <c r="A97" s="19">
        <f>IF('Our DOs'!A89="","",'Our DOs'!A89)</f>
      </c>
      <c r="B97" s="19">
        <f>IF(A97="","",'Our DOs'!B89)</f>
      </c>
      <c r="C97" s="19">
        <f>IF(A97="","",'Our DOs'!C89)</f>
      </c>
      <c r="D97" s="19">
        <f>IF(A97="","",'Our DOs'!D89)</f>
      </c>
      <c r="E97" s="22">
        <f>IF(A97="","",'Our DOs'!E89)</f>
      </c>
      <c r="F97" s="22">
        <f>IF(A97="","",'Our DOs'!F89)</f>
      </c>
      <c r="G97" s="22">
        <f>IF(OR(A97="",B97=""),"",IFERROR(INDEX('Their statement'!$D$2:$D$201,MATCH(B97,'Their statement'!$A$2:$A$201,0)),""))</f>
      </c>
      <c r="H97" s="22">
        <f>IF(OR(A97="",B97=""),"",IFERROR(INDEX('Their statement'!$E$2:$E$201,MATCH(B97,'Their statement'!$A$2:$A$201,0)),""))</f>
      </c>
      <c r="I97" s="19">
        <f>IF(A97="","",IF(B97="","No PO yet",IF(ISNUMBER(MATCH(B97,'Their statement'!$A$2:$A$201,0)),IF(AND(ROUND(F97-IF(H97="",0,H97),2)=0,OR(G97="",ROUND(E97-IF(G97="",0,G97),2)=0)),"Matches","Differs"),"Missing")))</f>
      </c>
      <c r="J97" s="22">
        <f>IF(OR(I97="Missing",I97="Differs"),F97-IF(H97="",0,H97),"")</f>
      </c>
      <c r="K97" s="10"/>
      <c r="L97" s="23">
        <f>IF(N97=1,SUM($N$10:N97),"")</f>
      </c>
      <c r="M97" s="24">
        <f>IF(N97=1,"Customer PO "&amp;B97&amp;" · "&amp;C97&amp;" · case "&amp;D97&amp;CHAR(10)&amp;"Sales "&amp;DOLLAR(E97,2)&amp;" · commission "&amp;DOLLAR(F97,2)&amp;CHAR(10)&amp;IF(I97="Missing","Not on your "&amp;Setup!$B$5&amp;" commission statement.","Your statement shows commission "&amp;DOLLAR(IF(H97="",0,H97),2)&amp;" (ours "&amp;DOLLAR(F97,2)&amp;")"&amp;IF(AND(G97&lt;&gt;"",ROUND(E97-IF(G97="",0,G97),2)&lt;&gt;0),"; sales price "&amp;DOLLAR(IF(G97="",0,G97),2)&amp;" (ours "&amp;DOLLAR(E97,2)&amp;")","")&amp;".")&amp;CHAR(10)&amp;IF('Our DOs'!G89&lt;&gt;"","We sent this Delivery Order"&amp;IF('Our DOs'!I89="Yes",", with the hospital's purchase order number,","")&amp;" on "&amp;'Our DOs'!G89&amp;IF('Our DOs'!H89&lt;&gt;""," by "&amp;LOWER('Our DOs'!H89),"")&amp;". The Delivery Order is available on request.","The Delivery Order is available on request."),"")</f>
      </c>
      <c r="N97" s="25">
        <f>IF(AND(OR(I97="Missing",I97="Differs"),K97&lt;&gt;"No"),1,0)</f>
      </c>
    </row>
    <row r="98" spans="1:14" x14ac:dyDescent="0.25">
      <c r="A98" s="19">
        <f>IF('Our DOs'!A90="","",'Our DOs'!A90)</f>
      </c>
      <c r="B98" s="19">
        <f>IF(A98="","",'Our DOs'!B90)</f>
      </c>
      <c r="C98" s="19">
        <f>IF(A98="","",'Our DOs'!C90)</f>
      </c>
      <c r="D98" s="19">
        <f>IF(A98="","",'Our DOs'!D90)</f>
      </c>
      <c r="E98" s="22">
        <f>IF(A98="","",'Our DOs'!E90)</f>
      </c>
      <c r="F98" s="22">
        <f>IF(A98="","",'Our DOs'!F90)</f>
      </c>
      <c r="G98" s="22">
        <f>IF(OR(A98="",B98=""),"",IFERROR(INDEX('Their statement'!$D$2:$D$201,MATCH(B98,'Their statement'!$A$2:$A$201,0)),""))</f>
      </c>
      <c r="H98" s="22">
        <f>IF(OR(A98="",B98=""),"",IFERROR(INDEX('Their statement'!$E$2:$E$201,MATCH(B98,'Their statement'!$A$2:$A$201,0)),""))</f>
      </c>
      <c r="I98" s="19">
        <f>IF(A98="","",IF(B98="","No PO yet",IF(ISNUMBER(MATCH(B98,'Their statement'!$A$2:$A$201,0)),IF(AND(ROUND(F98-IF(H98="",0,H98),2)=0,OR(G98="",ROUND(E98-IF(G98="",0,G98),2)=0)),"Matches","Differs"),"Missing")))</f>
      </c>
      <c r="J98" s="22">
        <f>IF(OR(I98="Missing",I98="Differs"),F98-IF(H98="",0,H98),"")</f>
      </c>
      <c r="K98" s="10"/>
      <c r="L98" s="23">
        <f>IF(N98=1,SUM($N$10:N98),"")</f>
      </c>
      <c r="M98" s="24">
        <f>IF(N98=1,"Customer PO "&amp;B98&amp;" · "&amp;C98&amp;" · case "&amp;D98&amp;CHAR(10)&amp;"Sales "&amp;DOLLAR(E98,2)&amp;" · commission "&amp;DOLLAR(F98,2)&amp;CHAR(10)&amp;IF(I98="Missing","Not on your "&amp;Setup!$B$5&amp;" commission statement.","Your statement shows commission "&amp;DOLLAR(IF(H98="",0,H98),2)&amp;" (ours "&amp;DOLLAR(F98,2)&amp;")"&amp;IF(AND(G98&lt;&gt;"",ROUND(E98-IF(G98="",0,G98),2)&lt;&gt;0),"; sales price "&amp;DOLLAR(IF(G98="",0,G98),2)&amp;" (ours "&amp;DOLLAR(E98,2)&amp;")","")&amp;".")&amp;CHAR(10)&amp;IF('Our DOs'!G90&lt;&gt;"","We sent this Delivery Order"&amp;IF('Our DOs'!I90="Yes",", with the hospital's purchase order number,","")&amp;" on "&amp;'Our DOs'!G90&amp;IF('Our DOs'!H90&lt;&gt;""," by "&amp;LOWER('Our DOs'!H90),"")&amp;". The Delivery Order is available on request.","The Delivery Order is available on request."),"")</f>
      </c>
      <c r="N98" s="25">
        <f>IF(AND(OR(I98="Missing",I98="Differs"),K98&lt;&gt;"No"),1,0)</f>
      </c>
    </row>
    <row r="99" spans="1:14" x14ac:dyDescent="0.25">
      <c r="A99" s="19">
        <f>IF('Our DOs'!A91="","",'Our DOs'!A91)</f>
      </c>
      <c r="B99" s="19">
        <f>IF(A99="","",'Our DOs'!B91)</f>
      </c>
      <c r="C99" s="19">
        <f>IF(A99="","",'Our DOs'!C91)</f>
      </c>
      <c r="D99" s="19">
        <f>IF(A99="","",'Our DOs'!D91)</f>
      </c>
      <c r="E99" s="22">
        <f>IF(A99="","",'Our DOs'!E91)</f>
      </c>
      <c r="F99" s="22">
        <f>IF(A99="","",'Our DOs'!F91)</f>
      </c>
      <c r="G99" s="22">
        <f>IF(OR(A99="",B99=""),"",IFERROR(INDEX('Their statement'!$D$2:$D$201,MATCH(B99,'Their statement'!$A$2:$A$201,0)),""))</f>
      </c>
      <c r="H99" s="22">
        <f>IF(OR(A99="",B99=""),"",IFERROR(INDEX('Their statement'!$E$2:$E$201,MATCH(B99,'Their statement'!$A$2:$A$201,0)),""))</f>
      </c>
      <c r="I99" s="19">
        <f>IF(A99="","",IF(B99="","No PO yet",IF(ISNUMBER(MATCH(B99,'Their statement'!$A$2:$A$201,0)),IF(AND(ROUND(F99-IF(H99="",0,H99),2)=0,OR(G99="",ROUND(E99-IF(G99="",0,G99),2)=0)),"Matches","Differs"),"Missing")))</f>
      </c>
      <c r="J99" s="22">
        <f>IF(OR(I99="Missing",I99="Differs"),F99-IF(H99="",0,H99),"")</f>
      </c>
      <c r="K99" s="10"/>
      <c r="L99" s="23">
        <f>IF(N99=1,SUM($N$10:N99),"")</f>
      </c>
      <c r="M99" s="24">
        <f>IF(N99=1,"Customer PO "&amp;B99&amp;" · "&amp;C99&amp;" · case "&amp;D99&amp;CHAR(10)&amp;"Sales "&amp;DOLLAR(E99,2)&amp;" · commission "&amp;DOLLAR(F99,2)&amp;CHAR(10)&amp;IF(I99="Missing","Not on your "&amp;Setup!$B$5&amp;" commission statement.","Your statement shows commission "&amp;DOLLAR(IF(H99="",0,H99),2)&amp;" (ours "&amp;DOLLAR(F99,2)&amp;")"&amp;IF(AND(G99&lt;&gt;"",ROUND(E99-IF(G99="",0,G99),2)&lt;&gt;0),"; sales price "&amp;DOLLAR(IF(G99="",0,G99),2)&amp;" (ours "&amp;DOLLAR(E99,2)&amp;")","")&amp;".")&amp;CHAR(10)&amp;IF('Our DOs'!G91&lt;&gt;"","We sent this Delivery Order"&amp;IF('Our DOs'!I91="Yes",", with the hospital's purchase order number,","")&amp;" on "&amp;'Our DOs'!G91&amp;IF('Our DOs'!H91&lt;&gt;""," by "&amp;LOWER('Our DOs'!H91),"")&amp;". The Delivery Order is available on request.","The Delivery Order is available on request."),"")</f>
      </c>
      <c r="N99" s="25">
        <f>IF(AND(OR(I99="Missing",I99="Differs"),K99&lt;&gt;"No"),1,0)</f>
      </c>
    </row>
    <row r="100" spans="1:14" x14ac:dyDescent="0.25">
      <c r="A100" s="19">
        <f>IF('Our DOs'!A92="","",'Our DOs'!A92)</f>
      </c>
      <c r="B100" s="19">
        <f>IF(A100="","",'Our DOs'!B92)</f>
      </c>
      <c r="C100" s="19">
        <f>IF(A100="","",'Our DOs'!C92)</f>
      </c>
      <c r="D100" s="19">
        <f>IF(A100="","",'Our DOs'!D92)</f>
      </c>
      <c r="E100" s="22">
        <f>IF(A100="","",'Our DOs'!E92)</f>
      </c>
      <c r="F100" s="22">
        <f>IF(A100="","",'Our DOs'!F92)</f>
      </c>
      <c r="G100" s="22">
        <f>IF(OR(A100="",B100=""),"",IFERROR(INDEX('Their statement'!$D$2:$D$201,MATCH(B100,'Their statement'!$A$2:$A$201,0)),""))</f>
      </c>
      <c r="H100" s="22">
        <f>IF(OR(A100="",B100=""),"",IFERROR(INDEX('Their statement'!$E$2:$E$201,MATCH(B100,'Their statement'!$A$2:$A$201,0)),""))</f>
      </c>
      <c r="I100" s="19">
        <f>IF(A100="","",IF(B100="","No PO yet",IF(ISNUMBER(MATCH(B100,'Their statement'!$A$2:$A$201,0)),IF(AND(ROUND(F100-IF(H100="",0,H100),2)=0,OR(G100="",ROUND(E100-IF(G100="",0,G100),2)=0)),"Matches","Differs"),"Missing")))</f>
      </c>
      <c r="J100" s="22">
        <f>IF(OR(I100="Missing",I100="Differs"),F100-IF(H100="",0,H100),"")</f>
      </c>
      <c r="K100" s="10"/>
      <c r="L100" s="23">
        <f>IF(N100=1,SUM($N$10:N100),"")</f>
      </c>
      <c r="M100" s="24">
        <f>IF(N100=1,"Customer PO "&amp;B100&amp;" · "&amp;C100&amp;" · case "&amp;D100&amp;CHAR(10)&amp;"Sales "&amp;DOLLAR(E100,2)&amp;" · commission "&amp;DOLLAR(F100,2)&amp;CHAR(10)&amp;IF(I100="Missing","Not on your "&amp;Setup!$B$5&amp;" commission statement.","Your statement shows commission "&amp;DOLLAR(IF(H100="",0,H100),2)&amp;" (ours "&amp;DOLLAR(F100,2)&amp;")"&amp;IF(AND(G100&lt;&gt;"",ROUND(E100-IF(G100="",0,G100),2)&lt;&gt;0),"; sales price "&amp;DOLLAR(IF(G100="",0,G100),2)&amp;" (ours "&amp;DOLLAR(E100,2)&amp;")","")&amp;".")&amp;CHAR(10)&amp;IF('Our DOs'!G92&lt;&gt;"","We sent this Delivery Order"&amp;IF('Our DOs'!I92="Yes",", with the hospital's purchase order number,","")&amp;" on "&amp;'Our DOs'!G92&amp;IF('Our DOs'!H92&lt;&gt;""," by "&amp;LOWER('Our DOs'!H92),"")&amp;". The Delivery Order is available on request.","The Delivery Order is available on request."),"")</f>
      </c>
      <c r="N100" s="25">
        <f>IF(AND(OR(I100="Missing",I100="Differs"),K100&lt;&gt;"No"),1,0)</f>
      </c>
    </row>
    <row r="101" spans="1:14" x14ac:dyDescent="0.25">
      <c r="A101" s="19">
        <f>IF('Our DOs'!A93="","",'Our DOs'!A93)</f>
      </c>
      <c r="B101" s="19">
        <f>IF(A101="","",'Our DOs'!B93)</f>
      </c>
      <c r="C101" s="19">
        <f>IF(A101="","",'Our DOs'!C93)</f>
      </c>
      <c r="D101" s="19">
        <f>IF(A101="","",'Our DOs'!D93)</f>
      </c>
      <c r="E101" s="22">
        <f>IF(A101="","",'Our DOs'!E93)</f>
      </c>
      <c r="F101" s="22">
        <f>IF(A101="","",'Our DOs'!F93)</f>
      </c>
      <c r="G101" s="22">
        <f>IF(OR(A101="",B101=""),"",IFERROR(INDEX('Their statement'!$D$2:$D$201,MATCH(B101,'Their statement'!$A$2:$A$201,0)),""))</f>
      </c>
      <c r="H101" s="22">
        <f>IF(OR(A101="",B101=""),"",IFERROR(INDEX('Their statement'!$E$2:$E$201,MATCH(B101,'Their statement'!$A$2:$A$201,0)),""))</f>
      </c>
      <c r="I101" s="19">
        <f>IF(A101="","",IF(B101="","No PO yet",IF(ISNUMBER(MATCH(B101,'Their statement'!$A$2:$A$201,0)),IF(AND(ROUND(F101-IF(H101="",0,H101),2)=0,OR(G101="",ROUND(E101-IF(G101="",0,G101),2)=0)),"Matches","Differs"),"Missing")))</f>
      </c>
      <c r="J101" s="22">
        <f>IF(OR(I101="Missing",I101="Differs"),F101-IF(H101="",0,H101),"")</f>
      </c>
      <c r="K101" s="10"/>
      <c r="L101" s="23">
        <f>IF(N101=1,SUM($N$10:N101),"")</f>
      </c>
      <c r="M101" s="24">
        <f>IF(N101=1,"Customer PO "&amp;B101&amp;" · "&amp;C101&amp;" · case "&amp;D101&amp;CHAR(10)&amp;"Sales "&amp;DOLLAR(E101,2)&amp;" · commission "&amp;DOLLAR(F101,2)&amp;CHAR(10)&amp;IF(I101="Missing","Not on your "&amp;Setup!$B$5&amp;" commission statement.","Your statement shows commission "&amp;DOLLAR(IF(H101="",0,H101),2)&amp;" (ours "&amp;DOLLAR(F101,2)&amp;")"&amp;IF(AND(G101&lt;&gt;"",ROUND(E101-IF(G101="",0,G101),2)&lt;&gt;0),"; sales price "&amp;DOLLAR(IF(G101="",0,G101),2)&amp;" (ours "&amp;DOLLAR(E101,2)&amp;")","")&amp;".")&amp;CHAR(10)&amp;IF('Our DOs'!G93&lt;&gt;"","We sent this Delivery Order"&amp;IF('Our DOs'!I93="Yes",", with the hospital's purchase order number,","")&amp;" on "&amp;'Our DOs'!G93&amp;IF('Our DOs'!H93&lt;&gt;""," by "&amp;LOWER('Our DOs'!H93),"")&amp;". The Delivery Order is available on request.","The Delivery Order is available on request."),"")</f>
      </c>
      <c r="N101" s="25">
        <f>IF(AND(OR(I101="Missing",I101="Differs"),K101&lt;&gt;"No"),1,0)</f>
      </c>
    </row>
    <row r="102" spans="1:14" x14ac:dyDescent="0.25">
      <c r="A102" s="19">
        <f>IF('Our DOs'!A94="","",'Our DOs'!A94)</f>
      </c>
      <c r="B102" s="19">
        <f>IF(A102="","",'Our DOs'!B94)</f>
      </c>
      <c r="C102" s="19">
        <f>IF(A102="","",'Our DOs'!C94)</f>
      </c>
      <c r="D102" s="19">
        <f>IF(A102="","",'Our DOs'!D94)</f>
      </c>
      <c r="E102" s="22">
        <f>IF(A102="","",'Our DOs'!E94)</f>
      </c>
      <c r="F102" s="22">
        <f>IF(A102="","",'Our DOs'!F94)</f>
      </c>
      <c r="G102" s="22">
        <f>IF(OR(A102="",B102=""),"",IFERROR(INDEX('Their statement'!$D$2:$D$201,MATCH(B102,'Their statement'!$A$2:$A$201,0)),""))</f>
      </c>
      <c r="H102" s="22">
        <f>IF(OR(A102="",B102=""),"",IFERROR(INDEX('Their statement'!$E$2:$E$201,MATCH(B102,'Their statement'!$A$2:$A$201,0)),""))</f>
      </c>
      <c r="I102" s="19">
        <f>IF(A102="","",IF(B102="","No PO yet",IF(ISNUMBER(MATCH(B102,'Their statement'!$A$2:$A$201,0)),IF(AND(ROUND(F102-IF(H102="",0,H102),2)=0,OR(G102="",ROUND(E102-IF(G102="",0,G102),2)=0)),"Matches","Differs"),"Missing")))</f>
      </c>
      <c r="J102" s="22">
        <f>IF(OR(I102="Missing",I102="Differs"),F102-IF(H102="",0,H102),"")</f>
      </c>
      <c r="K102" s="10"/>
      <c r="L102" s="23">
        <f>IF(N102=1,SUM($N$10:N102),"")</f>
      </c>
      <c r="M102" s="24">
        <f>IF(N102=1,"Customer PO "&amp;B102&amp;" · "&amp;C102&amp;" · case "&amp;D102&amp;CHAR(10)&amp;"Sales "&amp;DOLLAR(E102,2)&amp;" · commission "&amp;DOLLAR(F102,2)&amp;CHAR(10)&amp;IF(I102="Missing","Not on your "&amp;Setup!$B$5&amp;" commission statement.","Your statement shows commission "&amp;DOLLAR(IF(H102="",0,H102),2)&amp;" (ours "&amp;DOLLAR(F102,2)&amp;")"&amp;IF(AND(G102&lt;&gt;"",ROUND(E102-IF(G102="",0,G102),2)&lt;&gt;0),"; sales price "&amp;DOLLAR(IF(G102="",0,G102),2)&amp;" (ours "&amp;DOLLAR(E102,2)&amp;")","")&amp;".")&amp;CHAR(10)&amp;IF('Our DOs'!G94&lt;&gt;"","We sent this Delivery Order"&amp;IF('Our DOs'!I94="Yes",", with the hospital's purchase order number,","")&amp;" on "&amp;'Our DOs'!G94&amp;IF('Our DOs'!H94&lt;&gt;""," by "&amp;LOWER('Our DOs'!H94),"")&amp;". The Delivery Order is available on request.","The Delivery Order is available on request."),"")</f>
      </c>
      <c r="N102" s="25">
        <f>IF(AND(OR(I102="Missing",I102="Differs"),K102&lt;&gt;"No"),1,0)</f>
      </c>
    </row>
    <row r="103" spans="1:14" x14ac:dyDescent="0.25">
      <c r="A103" s="19">
        <f>IF('Our DOs'!A95="","",'Our DOs'!A95)</f>
      </c>
      <c r="B103" s="19">
        <f>IF(A103="","",'Our DOs'!B95)</f>
      </c>
      <c r="C103" s="19">
        <f>IF(A103="","",'Our DOs'!C95)</f>
      </c>
      <c r="D103" s="19">
        <f>IF(A103="","",'Our DOs'!D95)</f>
      </c>
      <c r="E103" s="22">
        <f>IF(A103="","",'Our DOs'!E95)</f>
      </c>
      <c r="F103" s="22">
        <f>IF(A103="","",'Our DOs'!F95)</f>
      </c>
      <c r="G103" s="22">
        <f>IF(OR(A103="",B103=""),"",IFERROR(INDEX('Their statement'!$D$2:$D$201,MATCH(B103,'Their statement'!$A$2:$A$201,0)),""))</f>
      </c>
      <c r="H103" s="22">
        <f>IF(OR(A103="",B103=""),"",IFERROR(INDEX('Their statement'!$E$2:$E$201,MATCH(B103,'Their statement'!$A$2:$A$201,0)),""))</f>
      </c>
      <c r="I103" s="19">
        <f>IF(A103="","",IF(B103="","No PO yet",IF(ISNUMBER(MATCH(B103,'Their statement'!$A$2:$A$201,0)),IF(AND(ROUND(F103-IF(H103="",0,H103),2)=0,OR(G103="",ROUND(E103-IF(G103="",0,G103),2)=0)),"Matches","Differs"),"Missing")))</f>
      </c>
      <c r="J103" s="22">
        <f>IF(OR(I103="Missing",I103="Differs"),F103-IF(H103="",0,H103),"")</f>
      </c>
      <c r="K103" s="10"/>
      <c r="L103" s="23">
        <f>IF(N103=1,SUM($N$10:N103),"")</f>
      </c>
      <c r="M103" s="24">
        <f>IF(N103=1,"Customer PO "&amp;B103&amp;" · "&amp;C103&amp;" · case "&amp;D103&amp;CHAR(10)&amp;"Sales "&amp;DOLLAR(E103,2)&amp;" · commission "&amp;DOLLAR(F103,2)&amp;CHAR(10)&amp;IF(I103="Missing","Not on your "&amp;Setup!$B$5&amp;" commission statement.","Your statement shows commission "&amp;DOLLAR(IF(H103="",0,H103),2)&amp;" (ours "&amp;DOLLAR(F103,2)&amp;")"&amp;IF(AND(G103&lt;&gt;"",ROUND(E103-IF(G103="",0,G103),2)&lt;&gt;0),"; sales price "&amp;DOLLAR(IF(G103="",0,G103),2)&amp;" (ours "&amp;DOLLAR(E103,2)&amp;")","")&amp;".")&amp;CHAR(10)&amp;IF('Our DOs'!G95&lt;&gt;"","We sent this Delivery Order"&amp;IF('Our DOs'!I95="Yes",", with the hospital's purchase order number,","")&amp;" on "&amp;'Our DOs'!G95&amp;IF('Our DOs'!H95&lt;&gt;""," by "&amp;LOWER('Our DOs'!H95),"")&amp;". The Delivery Order is available on request.","The Delivery Order is available on request."),"")</f>
      </c>
      <c r="N103" s="25">
        <f>IF(AND(OR(I103="Missing",I103="Differs"),K103&lt;&gt;"No"),1,0)</f>
      </c>
    </row>
    <row r="104" spans="1:14" x14ac:dyDescent="0.25">
      <c r="A104" s="19">
        <f>IF('Our DOs'!A96="","",'Our DOs'!A96)</f>
      </c>
      <c r="B104" s="19">
        <f>IF(A104="","",'Our DOs'!B96)</f>
      </c>
      <c r="C104" s="19">
        <f>IF(A104="","",'Our DOs'!C96)</f>
      </c>
      <c r="D104" s="19">
        <f>IF(A104="","",'Our DOs'!D96)</f>
      </c>
      <c r="E104" s="22">
        <f>IF(A104="","",'Our DOs'!E96)</f>
      </c>
      <c r="F104" s="22">
        <f>IF(A104="","",'Our DOs'!F96)</f>
      </c>
      <c r="G104" s="22">
        <f>IF(OR(A104="",B104=""),"",IFERROR(INDEX('Their statement'!$D$2:$D$201,MATCH(B104,'Their statement'!$A$2:$A$201,0)),""))</f>
      </c>
      <c r="H104" s="22">
        <f>IF(OR(A104="",B104=""),"",IFERROR(INDEX('Their statement'!$E$2:$E$201,MATCH(B104,'Their statement'!$A$2:$A$201,0)),""))</f>
      </c>
      <c r="I104" s="19">
        <f>IF(A104="","",IF(B104="","No PO yet",IF(ISNUMBER(MATCH(B104,'Their statement'!$A$2:$A$201,0)),IF(AND(ROUND(F104-IF(H104="",0,H104),2)=0,OR(G104="",ROUND(E104-IF(G104="",0,G104),2)=0)),"Matches","Differs"),"Missing")))</f>
      </c>
      <c r="J104" s="22">
        <f>IF(OR(I104="Missing",I104="Differs"),F104-IF(H104="",0,H104),"")</f>
      </c>
      <c r="K104" s="10"/>
      <c r="L104" s="23">
        <f>IF(N104=1,SUM($N$10:N104),"")</f>
      </c>
      <c r="M104" s="24">
        <f>IF(N104=1,"Customer PO "&amp;B104&amp;" · "&amp;C104&amp;" · case "&amp;D104&amp;CHAR(10)&amp;"Sales "&amp;DOLLAR(E104,2)&amp;" · commission "&amp;DOLLAR(F104,2)&amp;CHAR(10)&amp;IF(I104="Missing","Not on your "&amp;Setup!$B$5&amp;" commission statement.","Your statement shows commission "&amp;DOLLAR(IF(H104="",0,H104),2)&amp;" (ours "&amp;DOLLAR(F104,2)&amp;")"&amp;IF(AND(G104&lt;&gt;"",ROUND(E104-IF(G104="",0,G104),2)&lt;&gt;0),"; sales price "&amp;DOLLAR(IF(G104="",0,G104),2)&amp;" (ours "&amp;DOLLAR(E104,2)&amp;")","")&amp;".")&amp;CHAR(10)&amp;IF('Our DOs'!G96&lt;&gt;"","We sent this Delivery Order"&amp;IF('Our DOs'!I96="Yes",", with the hospital's purchase order number,","")&amp;" on "&amp;'Our DOs'!G96&amp;IF('Our DOs'!H96&lt;&gt;""," by "&amp;LOWER('Our DOs'!H96),"")&amp;". The Delivery Order is available on request.","The Delivery Order is available on request."),"")</f>
      </c>
      <c r="N104" s="25">
        <f>IF(AND(OR(I104="Missing",I104="Differs"),K104&lt;&gt;"No"),1,0)</f>
      </c>
    </row>
    <row r="105" spans="1:14" x14ac:dyDescent="0.25">
      <c r="A105" s="19">
        <f>IF('Our DOs'!A97="","",'Our DOs'!A97)</f>
      </c>
      <c r="B105" s="19">
        <f>IF(A105="","",'Our DOs'!B97)</f>
      </c>
      <c r="C105" s="19">
        <f>IF(A105="","",'Our DOs'!C97)</f>
      </c>
      <c r="D105" s="19">
        <f>IF(A105="","",'Our DOs'!D97)</f>
      </c>
      <c r="E105" s="22">
        <f>IF(A105="","",'Our DOs'!E97)</f>
      </c>
      <c r="F105" s="22">
        <f>IF(A105="","",'Our DOs'!F97)</f>
      </c>
      <c r="G105" s="22">
        <f>IF(OR(A105="",B105=""),"",IFERROR(INDEX('Their statement'!$D$2:$D$201,MATCH(B105,'Their statement'!$A$2:$A$201,0)),""))</f>
      </c>
      <c r="H105" s="22">
        <f>IF(OR(A105="",B105=""),"",IFERROR(INDEX('Their statement'!$E$2:$E$201,MATCH(B105,'Their statement'!$A$2:$A$201,0)),""))</f>
      </c>
      <c r="I105" s="19">
        <f>IF(A105="","",IF(B105="","No PO yet",IF(ISNUMBER(MATCH(B105,'Their statement'!$A$2:$A$201,0)),IF(AND(ROUND(F105-IF(H105="",0,H105),2)=0,OR(G105="",ROUND(E105-IF(G105="",0,G105),2)=0)),"Matches","Differs"),"Missing")))</f>
      </c>
      <c r="J105" s="22">
        <f>IF(OR(I105="Missing",I105="Differs"),F105-IF(H105="",0,H105),"")</f>
      </c>
      <c r="K105" s="10"/>
      <c r="L105" s="23">
        <f>IF(N105=1,SUM($N$10:N105),"")</f>
      </c>
      <c r="M105" s="24">
        <f>IF(N105=1,"Customer PO "&amp;B105&amp;" · "&amp;C105&amp;" · case "&amp;D105&amp;CHAR(10)&amp;"Sales "&amp;DOLLAR(E105,2)&amp;" · commission "&amp;DOLLAR(F105,2)&amp;CHAR(10)&amp;IF(I105="Missing","Not on your "&amp;Setup!$B$5&amp;" commission statement.","Your statement shows commission "&amp;DOLLAR(IF(H105="",0,H105),2)&amp;" (ours "&amp;DOLLAR(F105,2)&amp;")"&amp;IF(AND(G105&lt;&gt;"",ROUND(E105-IF(G105="",0,G105),2)&lt;&gt;0),"; sales price "&amp;DOLLAR(IF(G105="",0,G105),2)&amp;" (ours "&amp;DOLLAR(E105,2)&amp;")","")&amp;".")&amp;CHAR(10)&amp;IF('Our DOs'!G97&lt;&gt;"","We sent this Delivery Order"&amp;IF('Our DOs'!I97="Yes",", with the hospital's purchase order number,","")&amp;" on "&amp;'Our DOs'!G97&amp;IF('Our DOs'!H97&lt;&gt;""," by "&amp;LOWER('Our DOs'!H97),"")&amp;". The Delivery Order is available on request.","The Delivery Order is available on request."),"")</f>
      </c>
      <c r="N105" s="25">
        <f>IF(AND(OR(I105="Missing",I105="Differs"),K105&lt;&gt;"No"),1,0)</f>
      </c>
    </row>
    <row r="106" spans="1:14" x14ac:dyDescent="0.25">
      <c r="A106" s="19">
        <f>IF('Our DOs'!A98="","",'Our DOs'!A98)</f>
      </c>
      <c r="B106" s="19">
        <f>IF(A106="","",'Our DOs'!B98)</f>
      </c>
      <c r="C106" s="19">
        <f>IF(A106="","",'Our DOs'!C98)</f>
      </c>
      <c r="D106" s="19">
        <f>IF(A106="","",'Our DOs'!D98)</f>
      </c>
      <c r="E106" s="22">
        <f>IF(A106="","",'Our DOs'!E98)</f>
      </c>
      <c r="F106" s="22">
        <f>IF(A106="","",'Our DOs'!F98)</f>
      </c>
      <c r="G106" s="22">
        <f>IF(OR(A106="",B106=""),"",IFERROR(INDEX('Their statement'!$D$2:$D$201,MATCH(B106,'Their statement'!$A$2:$A$201,0)),""))</f>
      </c>
      <c r="H106" s="22">
        <f>IF(OR(A106="",B106=""),"",IFERROR(INDEX('Their statement'!$E$2:$E$201,MATCH(B106,'Their statement'!$A$2:$A$201,0)),""))</f>
      </c>
      <c r="I106" s="19">
        <f>IF(A106="","",IF(B106="","No PO yet",IF(ISNUMBER(MATCH(B106,'Their statement'!$A$2:$A$201,0)),IF(AND(ROUND(F106-IF(H106="",0,H106),2)=0,OR(G106="",ROUND(E106-IF(G106="",0,G106),2)=0)),"Matches","Differs"),"Missing")))</f>
      </c>
      <c r="J106" s="22">
        <f>IF(OR(I106="Missing",I106="Differs"),F106-IF(H106="",0,H106),"")</f>
      </c>
      <c r="K106" s="10"/>
      <c r="L106" s="23">
        <f>IF(N106=1,SUM($N$10:N106),"")</f>
      </c>
      <c r="M106" s="24">
        <f>IF(N106=1,"Customer PO "&amp;B106&amp;" · "&amp;C106&amp;" · case "&amp;D106&amp;CHAR(10)&amp;"Sales "&amp;DOLLAR(E106,2)&amp;" · commission "&amp;DOLLAR(F106,2)&amp;CHAR(10)&amp;IF(I106="Missing","Not on your "&amp;Setup!$B$5&amp;" commission statement.","Your statement shows commission "&amp;DOLLAR(IF(H106="",0,H106),2)&amp;" (ours "&amp;DOLLAR(F106,2)&amp;")"&amp;IF(AND(G106&lt;&gt;"",ROUND(E106-IF(G106="",0,G106),2)&lt;&gt;0),"; sales price "&amp;DOLLAR(IF(G106="",0,G106),2)&amp;" (ours "&amp;DOLLAR(E106,2)&amp;")","")&amp;".")&amp;CHAR(10)&amp;IF('Our DOs'!G98&lt;&gt;"","We sent this Delivery Order"&amp;IF('Our DOs'!I98="Yes",", with the hospital's purchase order number,","")&amp;" on "&amp;'Our DOs'!G98&amp;IF('Our DOs'!H98&lt;&gt;""," by "&amp;LOWER('Our DOs'!H98),"")&amp;". The Delivery Order is available on request.","The Delivery Order is available on request."),"")</f>
      </c>
      <c r="N106" s="25">
        <f>IF(AND(OR(I106="Missing",I106="Differs"),K106&lt;&gt;"No"),1,0)</f>
      </c>
    </row>
    <row r="107" spans="1:14" x14ac:dyDescent="0.25">
      <c r="A107" s="19">
        <f>IF('Our DOs'!A99="","",'Our DOs'!A99)</f>
      </c>
      <c r="B107" s="19">
        <f>IF(A107="","",'Our DOs'!B99)</f>
      </c>
      <c r="C107" s="19">
        <f>IF(A107="","",'Our DOs'!C99)</f>
      </c>
      <c r="D107" s="19">
        <f>IF(A107="","",'Our DOs'!D99)</f>
      </c>
      <c r="E107" s="22">
        <f>IF(A107="","",'Our DOs'!E99)</f>
      </c>
      <c r="F107" s="22">
        <f>IF(A107="","",'Our DOs'!F99)</f>
      </c>
      <c r="G107" s="22">
        <f>IF(OR(A107="",B107=""),"",IFERROR(INDEX('Their statement'!$D$2:$D$201,MATCH(B107,'Their statement'!$A$2:$A$201,0)),""))</f>
      </c>
      <c r="H107" s="22">
        <f>IF(OR(A107="",B107=""),"",IFERROR(INDEX('Their statement'!$E$2:$E$201,MATCH(B107,'Their statement'!$A$2:$A$201,0)),""))</f>
      </c>
      <c r="I107" s="19">
        <f>IF(A107="","",IF(B107="","No PO yet",IF(ISNUMBER(MATCH(B107,'Their statement'!$A$2:$A$201,0)),IF(AND(ROUND(F107-IF(H107="",0,H107),2)=0,OR(G107="",ROUND(E107-IF(G107="",0,G107),2)=0)),"Matches","Differs"),"Missing")))</f>
      </c>
      <c r="J107" s="22">
        <f>IF(OR(I107="Missing",I107="Differs"),F107-IF(H107="",0,H107),"")</f>
      </c>
      <c r="K107" s="10"/>
      <c r="L107" s="23">
        <f>IF(N107=1,SUM($N$10:N107),"")</f>
      </c>
      <c r="M107" s="24">
        <f>IF(N107=1,"Customer PO "&amp;B107&amp;" · "&amp;C107&amp;" · case "&amp;D107&amp;CHAR(10)&amp;"Sales "&amp;DOLLAR(E107,2)&amp;" · commission "&amp;DOLLAR(F107,2)&amp;CHAR(10)&amp;IF(I107="Missing","Not on your "&amp;Setup!$B$5&amp;" commission statement.","Your statement shows commission "&amp;DOLLAR(IF(H107="",0,H107),2)&amp;" (ours "&amp;DOLLAR(F107,2)&amp;")"&amp;IF(AND(G107&lt;&gt;"",ROUND(E107-IF(G107="",0,G107),2)&lt;&gt;0),"; sales price "&amp;DOLLAR(IF(G107="",0,G107),2)&amp;" (ours "&amp;DOLLAR(E107,2)&amp;")","")&amp;".")&amp;CHAR(10)&amp;IF('Our DOs'!G99&lt;&gt;"","We sent this Delivery Order"&amp;IF('Our DOs'!I99="Yes",", with the hospital's purchase order number,","")&amp;" on "&amp;'Our DOs'!G99&amp;IF('Our DOs'!H99&lt;&gt;""," by "&amp;LOWER('Our DOs'!H99),"")&amp;". The Delivery Order is available on request.","The Delivery Order is available on request."),"")</f>
      </c>
      <c r="N107" s="25">
        <f>IF(AND(OR(I107="Missing",I107="Differs"),K107&lt;&gt;"No"),1,0)</f>
      </c>
    </row>
    <row r="108" spans="1:14" x14ac:dyDescent="0.25">
      <c r="A108" s="19">
        <f>IF('Our DOs'!A100="","",'Our DOs'!A100)</f>
      </c>
      <c r="B108" s="19">
        <f>IF(A108="","",'Our DOs'!B100)</f>
      </c>
      <c r="C108" s="19">
        <f>IF(A108="","",'Our DOs'!C100)</f>
      </c>
      <c r="D108" s="19">
        <f>IF(A108="","",'Our DOs'!D100)</f>
      </c>
      <c r="E108" s="22">
        <f>IF(A108="","",'Our DOs'!E100)</f>
      </c>
      <c r="F108" s="22">
        <f>IF(A108="","",'Our DOs'!F100)</f>
      </c>
      <c r="G108" s="22">
        <f>IF(OR(A108="",B108=""),"",IFERROR(INDEX('Their statement'!$D$2:$D$201,MATCH(B108,'Their statement'!$A$2:$A$201,0)),""))</f>
      </c>
      <c r="H108" s="22">
        <f>IF(OR(A108="",B108=""),"",IFERROR(INDEX('Their statement'!$E$2:$E$201,MATCH(B108,'Their statement'!$A$2:$A$201,0)),""))</f>
      </c>
      <c r="I108" s="19">
        <f>IF(A108="","",IF(B108="","No PO yet",IF(ISNUMBER(MATCH(B108,'Their statement'!$A$2:$A$201,0)),IF(AND(ROUND(F108-IF(H108="",0,H108),2)=0,OR(G108="",ROUND(E108-IF(G108="",0,G108),2)=0)),"Matches","Differs"),"Missing")))</f>
      </c>
      <c r="J108" s="22">
        <f>IF(OR(I108="Missing",I108="Differs"),F108-IF(H108="",0,H108),"")</f>
      </c>
      <c r="K108" s="10"/>
      <c r="L108" s="23">
        <f>IF(N108=1,SUM($N$10:N108),"")</f>
      </c>
      <c r="M108" s="24">
        <f>IF(N108=1,"Customer PO "&amp;B108&amp;" · "&amp;C108&amp;" · case "&amp;D108&amp;CHAR(10)&amp;"Sales "&amp;DOLLAR(E108,2)&amp;" · commission "&amp;DOLLAR(F108,2)&amp;CHAR(10)&amp;IF(I108="Missing","Not on your "&amp;Setup!$B$5&amp;" commission statement.","Your statement shows commission "&amp;DOLLAR(IF(H108="",0,H108),2)&amp;" (ours "&amp;DOLLAR(F108,2)&amp;")"&amp;IF(AND(G108&lt;&gt;"",ROUND(E108-IF(G108="",0,G108),2)&lt;&gt;0),"; sales price "&amp;DOLLAR(IF(G108="",0,G108),2)&amp;" (ours "&amp;DOLLAR(E108,2)&amp;")","")&amp;".")&amp;CHAR(10)&amp;IF('Our DOs'!G100&lt;&gt;"","We sent this Delivery Order"&amp;IF('Our DOs'!I100="Yes",", with the hospital's purchase order number,","")&amp;" on "&amp;'Our DOs'!G100&amp;IF('Our DOs'!H100&lt;&gt;""," by "&amp;LOWER('Our DOs'!H100),"")&amp;". The Delivery Order is available on request.","The Delivery Order is available on request."),"")</f>
      </c>
      <c r="N108" s="25">
        <f>IF(AND(OR(I108="Missing",I108="Differs"),K108&lt;&gt;"No"),1,0)</f>
      </c>
    </row>
    <row r="109" spans="1:14" x14ac:dyDescent="0.25">
      <c r="A109" s="19">
        <f>IF('Our DOs'!A101="","",'Our DOs'!A101)</f>
      </c>
      <c r="B109" s="19">
        <f>IF(A109="","",'Our DOs'!B101)</f>
      </c>
      <c r="C109" s="19">
        <f>IF(A109="","",'Our DOs'!C101)</f>
      </c>
      <c r="D109" s="19">
        <f>IF(A109="","",'Our DOs'!D101)</f>
      </c>
      <c r="E109" s="22">
        <f>IF(A109="","",'Our DOs'!E101)</f>
      </c>
      <c r="F109" s="22">
        <f>IF(A109="","",'Our DOs'!F101)</f>
      </c>
      <c r="G109" s="22">
        <f>IF(OR(A109="",B109=""),"",IFERROR(INDEX('Their statement'!$D$2:$D$201,MATCH(B109,'Their statement'!$A$2:$A$201,0)),""))</f>
      </c>
      <c r="H109" s="22">
        <f>IF(OR(A109="",B109=""),"",IFERROR(INDEX('Their statement'!$E$2:$E$201,MATCH(B109,'Their statement'!$A$2:$A$201,0)),""))</f>
      </c>
      <c r="I109" s="19">
        <f>IF(A109="","",IF(B109="","No PO yet",IF(ISNUMBER(MATCH(B109,'Their statement'!$A$2:$A$201,0)),IF(AND(ROUND(F109-IF(H109="",0,H109),2)=0,OR(G109="",ROUND(E109-IF(G109="",0,G109),2)=0)),"Matches","Differs"),"Missing")))</f>
      </c>
      <c r="J109" s="22">
        <f>IF(OR(I109="Missing",I109="Differs"),F109-IF(H109="",0,H109),"")</f>
      </c>
      <c r="K109" s="10"/>
      <c r="L109" s="23">
        <f>IF(N109=1,SUM($N$10:N109),"")</f>
      </c>
      <c r="M109" s="24">
        <f>IF(N109=1,"Customer PO "&amp;B109&amp;" · "&amp;C109&amp;" · case "&amp;D109&amp;CHAR(10)&amp;"Sales "&amp;DOLLAR(E109,2)&amp;" · commission "&amp;DOLLAR(F109,2)&amp;CHAR(10)&amp;IF(I109="Missing","Not on your "&amp;Setup!$B$5&amp;" commission statement.","Your statement shows commission "&amp;DOLLAR(IF(H109="",0,H109),2)&amp;" (ours "&amp;DOLLAR(F109,2)&amp;")"&amp;IF(AND(G109&lt;&gt;"",ROUND(E109-IF(G109="",0,G109),2)&lt;&gt;0),"; sales price "&amp;DOLLAR(IF(G109="",0,G109),2)&amp;" (ours "&amp;DOLLAR(E109,2)&amp;")","")&amp;".")&amp;CHAR(10)&amp;IF('Our DOs'!G101&lt;&gt;"","We sent this Delivery Order"&amp;IF('Our DOs'!I101="Yes",", with the hospital's purchase order number,","")&amp;" on "&amp;'Our DOs'!G101&amp;IF('Our DOs'!H101&lt;&gt;""," by "&amp;LOWER('Our DOs'!H101),"")&amp;". The Delivery Order is available on request.","The Delivery Order is available on request."),"")</f>
      </c>
      <c r="N109" s="25">
        <f>IF(AND(OR(I109="Missing",I109="Differs"),K109&lt;&gt;"No"),1,0)</f>
      </c>
    </row>
    <row r="110" spans="1:14" x14ac:dyDescent="0.25">
      <c r="A110" s="19">
        <f>IF('Our DOs'!A102="","",'Our DOs'!A102)</f>
      </c>
      <c r="B110" s="19">
        <f>IF(A110="","",'Our DOs'!B102)</f>
      </c>
      <c r="C110" s="19">
        <f>IF(A110="","",'Our DOs'!C102)</f>
      </c>
      <c r="D110" s="19">
        <f>IF(A110="","",'Our DOs'!D102)</f>
      </c>
      <c r="E110" s="22">
        <f>IF(A110="","",'Our DOs'!E102)</f>
      </c>
      <c r="F110" s="22">
        <f>IF(A110="","",'Our DOs'!F102)</f>
      </c>
      <c r="G110" s="22">
        <f>IF(OR(A110="",B110=""),"",IFERROR(INDEX('Their statement'!$D$2:$D$201,MATCH(B110,'Their statement'!$A$2:$A$201,0)),""))</f>
      </c>
      <c r="H110" s="22">
        <f>IF(OR(A110="",B110=""),"",IFERROR(INDEX('Their statement'!$E$2:$E$201,MATCH(B110,'Their statement'!$A$2:$A$201,0)),""))</f>
      </c>
      <c r="I110" s="19">
        <f>IF(A110="","",IF(B110="","No PO yet",IF(ISNUMBER(MATCH(B110,'Their statement'!$A$2:$A$201,0)),IF(AND(ROUND(F110-IF(H110="",0,H110),2)=0,OR(G110="",ROUND(E110-IF(G110="",0,G110),2)=0)),"Matches","Differs"),"Missing")))</f>
      </c>
      <c r="J110" s="22">
        <f>IF(OR(I110="Missing",I110="Differs"),F110-IF(H110="",0,H110),"")</f>
      </c>
      <c r="K110" s="10"/>
      <c r="L110" s="23">
        <f>IF(N110=1,SUM($N$10:N110),"")</f>
      </c>
      <c r="M110" s="24">
        <f>IF(N110=1,"Customer PO "&amp;B110&amp;" · "&amp;C110&amp;" · case "&amp;D110&amp;CHAR(10)&amp;"Sales "&amp;DOLLAR(E110,2)&amp;" · commission "&amp;DOLLAR(F110,2)&amp;CHAR(10)&amp;IF(I110="Missing","Not on your "&amp;Setup!$B$5&amp;" commission statement.","Your statement shows commission "&amp;DOLLAR(IF(H110="",0,H110),2)&amp;" (ours "&amp;DOLLAR(F110,2)&amp;")"&amp;IF(AND(G110&lt;&gt;"",ROUND(E110-IF(G110="",0,G110),2)&lt;&gt;0),"; sales price "&amp;DOLLAR(IF(G110="",0,G110),2)&amp;" (ours "&amp;DOLLAR(E110,2)&amp;")","")&amp;".")&amp;CHAR(10)&amp;IF('Our DOs'!G102&lt;&gt;"","We sent this Delivery Order"&amp;IF('Our DOs'!I102="Yes",", with the hospital's purchase order number,","")&amp;" on "&amp;'Our DOs'!G102&amp;IF('Our DOs'!H102&lt;&gt;""," by "&amp;LOWER('Our DOs'!H102),"")&amp;". The Delivery Order is available on request.","The Delivery Order is available on request."),"")</f>
      </c>
      <c r="N110" s="25">
        <f>IF(AND(OR(I110="Missing",I110="Differs"),K110&lt;&gt;"No"),1,0)</f>
      </c>
    </row>
    <row r="111" spans="1:14" x14ac:dyDescent="0.25">
      <c r="A111" s="19">
        <f>IF('Our DOs'!A103="","",'Our DOs'!A103)</f>
      </c>
      <c r="B111" s="19">
        <f>IF(A111="","",'Our DOs'!B103)</f>
      </c>
      <c r="C111" s="19">
        <f>IF(A111="","",'Our DOs'!C103)</f>
      </c>
      <c r="D111" s="19">
        <f>IF(A111="","",'Our DOs'!D103)</f>
      </c>
      <c r="E111" s="22">
        <f>IF(A111="","",'Our DOs'!E103)</f>
      </c>
      <c r="F111" s="22">
        <f>IF(A111="","",'Our DOs'!F103)</f>
      </c>
      <c r="G111" s="22">
        <f>IF(OR(A111="",B111=""),"",IFERROR(INDEX('Their statement'!$D$2:$D$201,MATCH(B111,'Their statement'!$A$2:$A$201,0)),""))</f>
      </c>
      <c r="H111" s="22">
        <f>IF(OR(A111="",B111=""),"",IFERROR(INDEX('Their statement'!$E$2:$E$201,MATCH(B111,'Their statement'!$A$2:$A$201,0)),""))</f>
      </c>
      <c r="I111" s="19">
        <f>IF(A111="","",IF(B111="","No PO yet",IF(ISNUMBER(MATCH(B111,'Their statement'!$A$2:$A$201,0)),IF(AND(ROUND(F111-IF(H111="",0,H111),2)=0,OR(G111="",ROUND(E111-IF(G111="",0,G111),2)=0)),"Matches","Differs"),"Missing")))</f>
      </c>
      <c r="J111" s="22">
        <f>IF(OR(I111="Missing",I111="Differs"),F111-IF(H111="",0,H111),"")</f>
      </c>
      <c r="K111" s="10"/>
      <c r="L111" s="23">
        <f>IF(N111=1,SUM($N$10:N111),"")</f>
      </c>
      <c r="M111" s="24">
        <f>IF(N111=1,"Customer PO "&amp;B111&amp;" · "&amp;C111&amp;" · case "&amp;D111&amp;CHAR(10)&amp;"Sales "&amp;DOLLAR(E111,2)&amp;" · commission "&amp;DOLLAR(F111,2)&amp;CHAR(10)&amp;IF(I111="Missing","Not on your "&amp;Setup!$B$5&amp;" commission statement.","Your statement shows commission "&amp;DOLLAR(IF(H111="",0,H111),2)&amp;" (ours "&amp;DOLLAR(F111,2)&amp;")"&amp;IF(AND(G111&lt;&gt;"",ROUND(E111-IF(G111="",0,G111),2)&lt;&gt;0),"; sales price "&amp;DOLLAR(IF(G111="",0,G111),2)&amp;" (ours "&amp;DOLLAR(E111,2)&amp;")","")&amp;".")&amp;CHAR(10)&amp;IF('Our DOs'!G103&lt;&gt;"","We sent this Delivery Order"&amp;IF('Our DOs'!I103="Yes",", with the hospital's purchase order number,","")&amp;" on "&amp;'Our DOs'!G103&amp;IF('Our DOs'!H103&lt;&gt;""," by "&amp;LOWER('Our DOs'!H103),"")&amp;". The Delivery Order is available on request.","The Delivery Order is available on request."),"")</f>
      </c>
      <c r="N111" s="25">
        <f>IF(AND(OR(I111="Missing",I111="Differs"),K111&lt;&gt;"No"),1,0)</f>
      </c>
    </row>
    <row r="112" spans="1:14" x14ac:dyDescent="0.25">
      <c r="A112" s="19">
        <f>IF('Our DOs'!A104="","",'Our DOs'!A104)</f>
      </c>
      <c r="B112" s="19">
        <f>IF(A112="","",'Our DOs'!B104)</f>
      </c>
      <c r="C112" s="19">
        <f>IF(A112="","",'Our DOs'!C104)</f>
      </c>
      <c r="D112" s="19">
        <f>IF(A112="","",'Our DOs'!D104)</f>
      </c>
      <c r="E112" s="22">
        <f>IF(A112="","",'Our DOs'!E104)</f>
      </c>
      <c r="F112" s="22">
        <f>IF(A112="","",'Our DOs'!F104)</f>
      </c>
      <c r="G112" s="22">
        <f>IF(OR(A112="",B112=""),"",IFERROR(INDEX('Their statement'!$D$2:$D$201,MATCH(B112,'Their statement'!$A$2:$A$201,0)),""))</f>
      </c>
      <c r="H112" s="22">
        <f>IF(OR(A112="",B112=""),"",IFERROR(INDEX('Their statement'!$E$2:$E$201,MATCH(B112,'Their statement'!$A$2:$A$201,0)),""))</f>
      </c>
      <c r="I112" s="19">
        <f>IF(A112="","",IF(B112="","No PO yet",IF(ISNUMBER(MATCH(B112,'Their statement'!$A$2:$A$201,0)),IF(AND(ROUND(F112-IF(H112="",0,H112),2)=0,OR(G112="",ROUND(E112-IF(G112="",0,G112),2)=0)),"Matches","Differs"),"Missing")))</f>
      </c>
      <c r="J112" s="22">
        <f>IF(OR(I112="Missing",I112="Differs"),F112-IF(H112="",0,H112),"")</f>
      </c>
      <c r="K112" s="10"/>
      <c r="L112" s="23">
        <f>IF(N112=1,SUM($N$10:N112),"")</f>
      </c>
      <c r="M112" s="24">
        <f>IF(N112=1,"Customer PO "&amp;B112&amp;" · "&amp;C112&amp;" · case "&amp;D112&amp;CHAR(10)&amp;"Sales "&amp;DOLLAR(E112,2)&amp;" · commission "&amp;DOLLAR(F112,2)&amp;CHAR(10)&amp;IF(I112="Missing","Not on your "&amp;Setup!$B$5&amp;" commission statement.","Your statement shows commission "&amp;DOLLAR(IF(H112="",0,H112),2)&amp;" (ours "&amp;DOLLAR(F112,2)&amp;")"&amp;IF(AND(G112&lt;&gt;"",ROUND(E112-IF(G112="",0,G112),2)&lt;&gt;0),"; sales price "&amp;DOLLAR(IF(G112="",0,G112),2)&amp;" (ours "&amp;DOLLAR(E112,2)&amp;")","")&amp;".")&amp;CHAR(10)&amp;IF('Our DOs'!G104&lt;&gt;"","We sent this Delivery Order"&amp;IF('Our DOs'!I104="Yes",", with the hospital's purchase order number,","")&amp;" on "&amp;'Our DOs'!G104&amp;IF('Our DOs'!H104&lt;&gt;""," by "&amp;LOWER('Our DOs'!H104),"")&amp;". The Delivery Order is available on request.","The Delivery Order is available on request."),"")</f>
      </c>
      <c r="N112" s="25">
        <f>IF(AND(OR(I112="Missing",I112="Differs"),K112&lt;&gt;"No"),1,0)</f>
      </c>
    </row>
    <row r="113" spans="1:14" x14ac:dyDescent="0.25">
      <c r="A113" s="19">
        <f>IF('Our DOs'!A105="","",'Our DOs'!A105)</f>
      </c>
      <c r="B113" s="19">
        <f>IF(A113="","",'Our DOs'!B105)</f>
      </c>
      <c r="C113" s="19">
        <f>IF(A113="","",'Our DOs'!C105)</f>
      </c>
      <c r="D113" s="19">
        <f>IF(A113="","",'Our DOs'!D105)</f>
      </c>
      <c r="E113" s="22">
        <f>IF(A113="","",'Our DOs'!E105)</f>
      </c>
      <c r="F113" s="22">
        <f>IF(A113="","",'Our DOs'!F105)</f>
      </c>
      <c r="G113" s="22">
        <f>IF(OR(A113="",B113=""),"",IFERROR(INDEX('Their statement'!$D$2:$D$201,MATCH(B113,'Their statement'!$A$2:$A$201,0)),""))</f>
      </c>
      <c r="H113" s="22">
        <f>IF(OR(A113="",B113=""),"",IFERROR(INDEX('Their statement'!$E$2:$E$201,MATCH(B113,'Their statement'!$A$2:$A$201,0)),""))</f>
      </c>
      <c r="I113" s="19">
        <f>IF(A113="","",IF(B113="","No PO yet",IF(ISNUMBER(MATCH(B113,'Their statement'!$A$2:$A$201,0)),IF(AND(ROUND(F113-IF(H113="",0,H113),2)=0,OR(G113="",ROUND(E113-IF(G113="",0,G113),2)=0)),"Matches","Differs"),"Missing")))</f>
      </c>
      <c r="J113" s="22">
        <f>IF(OR(I113="Missing",I113="Differs"),F113-IF(H113="",0,H113),"")</f>
      </c>
      <c r="K113" s="10"/>
      <c r="L113" s="23">
        <f>IF(N113=1,SUM($N$10:N113),"")</f>
      </c>
      <c r="M113" s="24">
        <f>IF(N113=1,"Customer PO "&amp;B113&amp;" · "&amp;C113&amp;" · case "&amp;D113&amp;CHAR(10)&amp;"Sales "&amp;DOLLAR(E113,2)&amp;" · commission "&amp;DOLLAR(F113,2)&amp;CHAR(10)&amp;IF(I113="Missing","Not on your "&amp;Setup!$B$5&amp;" commission statement.","Your statement shows commission "&amp;DOLLAR(IF(H113="",0,H113),2)&amp;" (ours "&amp;DOLLAR(F113,2)&amp;")"&amp;IF(AND(G113&lt;&gt;"",ROUND(E113-IF(G113="",0,G113),2)&lt;&gt;0),"; sales price "&amp;DOLLAR(IF(G113="",0,G113),2)&amp;" (ours "&amp;DOLLAR(E113,2)&amp;")","")&amp;".")&amp;CHAR(10)&amp;IF('Our DOs'!G105&lt;&gt;"","We sent this Delivery Order"&amp;IF('Our DOs'!I105="Yes",", with the hospital's purchase order number,","")&amp;" on "&amp;'Our DOs'!G105&amp;IF('Our DOs'!H105&lt;&gt;""," by "&amp;LOWER('Our DOs'!H105),"")&amp;". The Delivery Order is available on request.","The Delivery Order is available on request."),"")</f>
      </c>
      <c r="N113" s="25">
        <f>IF(AND(OR(I113="Missing",I113="Differs"),K113&lt;&gt;"No"),1,0)</f>
      </c>
    </row>
    <row r="114" spans="1:14" x14ac:dyDescent="0.25">
      <c r="A114" s="19">
        <f>IF('Our DOs'!A106="","",'Our DOs'!A106)</f>
      </c>
      <c r="B114" s="19">
        <f>IF(A114="","",'Our DOs'!B106)</f>
      </c>
      <c r="C114" s="19">
        <f>IF(A114="","",'Our DOs'!C106)</f>
      </c>
      <c r="D114" s="19">
        <f>IF(A114="","",'Our DOs'!D106)</f>
      </c>
      <c r="E114" s="22">
        <f>IF(A114="","",'Our DOs'!E106)</f>
      </c>
      <c r="F114" s="22">
        <f>IF(A114="","",'Our DOs'!F106)</f>
      </c>
      <c r="G114" s="22">
        <f>IF(OR(A114="",B114=""),"",IFERROR(INDEX('Their statement'!$D$2:$D$201,MATCH(B114,'Their statement'!$A$2:$A$201,0)),""))</f>
      </c>
      <c r="H114" s="22">
        <f>IF(OR(A114="",B114=""),"",IFERROR(INDEX('Their statement'!$E$2:$E$201,MATCH(B114,'Their statement'!$A$2:$A$201,0)),""))</f>
      </c>
      <c r="I114" s="19">
        <f>IF(A114="","",IF(B114="","No PO yet",IF(ISNUMBER(MATCH(B114,'Their statement'!$A$2:$A$201,0)),IF(AND(ROUND(F114-IF(H114="",0,H114),2)=0,OR(G114="",ROUND(E114-IF(G114="",0,G114),2)=0)),"Matches","Differs"),"Missing")))</f>
      </c>
      <c r="J114" s="22">
        <f>IF(OR(I114="Missing",I114="Differs"),F114-IF(H114="",0,H114),"")</f>
      </c>
      <c r="K114" s="10"/>
      <c r="L114" s="23">
        <f>IF(N114=1,SUM($N$10:N114),"")</f>
      </c>
      <c r="M114" s="24">
        <f>IF(N114=1,"Customer PO "&amp;B114&amp;" · "&amp;C114&amp;" · case "&amp;D114&amp;CHAR(10)&amp;"Sales "&amp;DOLLAR(E114,2)&amp;" · commission "&amp;DOLLAR(F114,2)&amp;CHAR(10)&amp;IF(I114="Missing","Not on your "&amp;Setup!$B$5&amp;" commission statement.","Your statement shows commission "&amp;DOLLAR(IF(H114="",0,H114),2)&amp;" (ours "&amp;DOLLAR(F114,2)&amp;")"&amp;IF(AND(G114&lt;&gt;"",ROUND(E114-IF(G114="",0,G114),2)&lt;&gt;0),"; sales price "&amp;DOLLAR(IF(G114="",0,G114),2)&amp;" (ours "&amp;DOLLAR(E114,2)&amp;")","")&amp;".")&amp;CHAR(10)&amp;IF('Our DOs'!G106&lt;&gt;"","We sent this Delivery Order"&amp;IF('Our DOs'!I106="Yes",", with the hospital's purchase order number,","")&amp;" on "&amp;'Our DOs'!G106&amp;IF('Our DOs'!H106&lt;&gt;""," by "&amp;LOWER('Our DOs'!H106),"")&amp;". The Delivery Order is available on request.","The Delivery Order is available on request."),"")</f>
      </c>
      <c r="N114" s="25">
        <f>IF(AND(OR(I114="Missing",I114="Differs"),K114&lt;&gt;"No"),1,0)</f>
      </c>
    </row>
    <row r="115" spans="1:14" x14ac:dyDescent="0.25">
      <c r="A115" s="19">
        <f>IF('Our DOs'!A107="","",'Our DOs'!A107)</f>
      </c>
      <c r="B115" s="19">
        <f>IF(A115="","",'Our DOs'!B107)</f>
      </c>
      <c r="C115" s="19">
        <f>IF(A115="","",'Our DOs'!C107)</f>
      </c>
      <c r="D115" s="19">
        <f>IF(A115="","",'Our DOs'!D107)</f>
      </c>
      <c r="E115" s="22">
        <f>IF(A115="","",'Our DOs'!E107)</f>
      </c>
      <c r="F115" s="22">
        <f>IF(A115="","",'Our DOs'!F107)</f>
      </c>
      <c r="G115" s="22">
        <f>IF(OR(A115="",B115=""),"",IFERROR(INDEX('Their statement'!$D$2:$D$201,MATCH(B115,'Their statement'!$A$2:$A$201,0)),""))</f>
      </c>
      <c r="H115" s="22">
        <f>IF(OR(A115="",B115=""),"",IFERROR(INDEX('Their statement'!$E$2:$E$201,MATCH(B115,'Their statement'!$A$2:$A$201,0)),""))</f>
      </c>
      <c r="I115" s="19">
        <f>IF(A115="","",IF(B115="","No PO yet",IF(ISNUMBER(MATCH(B115,'Their statement'!$A$2:$A$201,0)),IF(AND(ROUND(F115-IF(H115="",0,H115),2)=0,OR(G115="",ROUND(E115-IF(G115="",0,G115),2)=0)),"Matches","Differs"),"Missing")))</f>
      </c>
      <c r="J115" s="22">
        <f>IF(OR(I115="Missing",I115="Differs"),F115-IF(H115="",0,H115),"")</f>
      </c>
      <c r="K115" s="10"/>
      <c r="L115" s="23">
        <f>IF(N115=1,SUM($N$10:N115),"")</f>
      </c>
      <c r="M115" s="24">
        <f>IF(N115=1,"Customer PO "&amp;B115&amp;" · "&amp;C115&amp;" · case "&amp;D115&amp;CHAR(10)&amp;"Sales "&amp;DOLLAR(E115,2)&amp;" · commission "&amp;DOLLAR(F115,2)&amp;CHAR(10)&amp;IF(I115="Missing","Not on your "&amp;Setup!$B$5&amp;" commission statement.","Your statement shows commission "&amp;DOLLAR(IF(H115="",0,H115),2)&amp;" (ours "&amp;DOLLAR(F115,2)&amp;")"&amp;IF(AND(G115&lt;&gt;"",ROUND(E115-IF(G115="",0,G115),2)&lt;&gt;0),"; sales price "&amp;DOLLAR(IF(G115="",0,G115),2)&amp;" (ours "&amp;DOLLAR(E115,2)&amp;")","")&amp;".")&amp;CHAR(10)&amp;IF('Our DOs'!G107&lt;&gt;"","We sent this Delivery Order"&amp;IF('Our DOs'!I107="Yes",", with the hospital's purchase order number,","")&amp;" on "&amp;'Our DOs'!G107&amp;IF('Our DOs'!H107&lt;&gt;""," by "&amp;LOWER('Our DOs'!H107),"")&amp;". The Delivery Order is available on request.","The Delivery Order is available on request."),"")</f>
      </c>
      <c r="N115" s="25">
        <f>IF(AND(OR(I115="Missing",I115="Differs"),K115&lt;&gt;"No"),1,0)</f>
      </c>
    </row>
    <row r="116" spans="1:14" x14ac:dyDescent="0.25">
      <c r="A116" s="19">
        <f>IF('Our DOs'!A108="","",'Our DOs'!A108)</f>
      </c>
      <c r="B116" s="19">
        <f>IF(A116="","",'Our DOs'!B108)</f>
      </c>
      <c r="C116" s="19">
        <f>IF(A116="","",'Our DOs'!C108)</f>
      </c>
      <c r="D116" s="19">
        <f>IF(A116="","",'Our DOs'!D108)</f>
      </c>
      <c r="E116" s="22">
        <f>IF(A116="","",'Our DOs'!E108)</f>
      </c>
      <c r="F116" s="22">
        <f>IF(A116="","",'Our DOs'!F108)</f>
      </c>
      <c r="G116" s="22">
        <f>IF(OR(A116="",B116=""),"",IFERROR(INDEX('Their statement'!$D$2:$D$201,MATCH(B116,'Their statement'!$A$2:$A$201,0)),""))</f>
      </c>
      <c r="H116" s="22">
        <f>IF(OR(A116="",B116=""),"",IFERROR(INDEX('Their statement'!$E$2:$E$201,MATCH(B116,'Their statement'!$A$2:$A$201,0)),""))</f>
      </c>
      <c r="I116" s="19">
        <f>IF(A116="","",IF(B116="","No PO yet",IF(ISNUMBER(MATCH(B116,'Their statement'!$A$2:$A$201,0)),IF(AND(ROUND(F116-IF(H116="",0,H116),2)=0,OR(G116="",ROUND(E116-IF(G116="",0,G116),2)=0)),"Matches","Differs"),"Missing")))</f>
      </c>
      <c r="J116" s="22">
        <f>IF(OR(I116="Missing",I116="Differs"),F116-IF(H116="",0,H116),"")</f>
      </c>
      <c r="K116" s="10"/>
      <c r="L116" s="23">
        <f>IF(N116=1,SUM($N$10:N116),"")</f>
      </c>
      <c r="M116" s="24">
        <f>IF(N116=1,"Customer PO "&amp;B116&amp;" · "&amp;C116&amp;" · case "&amp;D116&amp;CHAR(10)&amp;"Sales "&amp;DOLLAR(E116,2)&amp;" · commission "&amp;DOLLAR(F116,2)&amp;CHAR(10)&amp;IF(I116="Missing","Not on your "&amp;Setup!$B$5&amp;" commission statement.","Your statement shows commission "&amp;DOLLAR(IF(H116="",0,H116),2)&amp;" (ours "&amp;DOLLAR(F116,2)&amp;")"&amp;IF(AND(G116&lt;&gt;"",ROUND(E116-IF(G116="",0,G116),2)&lt;&gt;0),"; sales price "&amp;DOLLAR(IF(G116="",0,G116),2)&amp;" (ours "&amp;DOLLAR(E116,2)&amp;")","")&amp;".")&amp;CHAR(10)&amp;IF('Our DOs'!G108&lt;&gt;"","We sent this Delivery Order"&amp;IF('Our DOs'!I108="Yes",", with the hospital's purchase order number,","")&amp;" on "&amp;'Our DOs'!G108&amp;IF('Our DOs'!H108&lt;&gt;""," by "&amp;LOWER('Our DOs'!H108),"")&amp;". The Delivery Order is available on request.","The Delivery Order is available on request."),"")</f>
      </c>
      <c r="N116" s="25">
        <f>IF(AND(OR(I116="Missing",I116="Differs"),K116&lt;&gt;"No"),1,0)</f>
      </c>
    </row>
    <row r="117" spans="1:14" x14ac:dyDescent="0.25">
      <c r="A117" s="19">
        <f>IF('Our DOs'!A109="","",'Our DOs'!A109)</f>
      </c>
      <c r="B117" s="19">
        <f>IF(A117="","",'Our DOs'!B109)</f>
      </c>
      <c r="C117" s="19">
        <f>IF(A117="","",'Our DOs'!C109)</f>
      </c>
      <c r="D117" s="19">
        <f>IF(A117="","",'Our DOs'!D109)</f>
      </c>
      <c r="E117" s="22">
        <f>IF(A117="","",'Our DOs'!E109)</f>
      </c>
      <c r="F117" s="22">
        <f>IF(A117="","",'Our DOs'!F109)</f>
      </c>
      <c r="G117" s="22">
        <f>IF(OR(A117="",B117=""),"",IFERROR(INDEX('Their statement'!$D$2:$D$201,MATCH(B117,'Their statement'!$A$2:$A$201,0)),""))</f>
      </c>
      <c r="H117" s="22">
        <f>IF(OR(A117="",B117=""),"",IFERROR(INDEX('Their statement'!$E$2:$E$201,MATCH(B117,'Their statement'!$A$2:$A$201,0)),""))</f>
      </c>
      <c r="I117" s="19">
        <f>IF(A117="","",IF(B117="","No PO yet",IF(ISNUMBER(MATCH(B117,'Their statement'!$A$2:$A$201,0)),IF(AND(ROUND(F117-IF(H117="",0,H117),2)=0,OR(G117="",ROUND(E117-IF(G117="",0,G117),2)=0)),"Matches","Differs"),"Missing")))</f>
      </c>
      <c r="J117" s="22">
        <f>IF(OR(I117="Missing",I117="Differs"),F117-IF(H117="",0,H117),"")</f>
      </c>
      <c r="K117" s="10"/>
      <c r="L117" s="23">
        <f>IF(N117=1,SUM($N$10:N117),"")</f>
      </c>
      <c r="M117" s="24">
        <f>IF(N117=1,"Customer PO "&amp;B117&amp;" · "&amp;C117&amp;" · case "&amp;D117&amp;CHAR(10)&amp;"Sales "&amp;DOLLAR(E117,2)&amp;" · commission "&amp;DOLLAR(F117,2)&amp;CHAR(10)&amp;IF(I117="Missing","Not on your "&amp;Setup!$B$5&amp;" commission statement.","Your statement shows commission "&amp;DOLLAR(IF(H117="",0,H117),2)&amp;" (ours "&amp;DOLLAR(F117,2)&amp;")"&amp;IF(AND(G117&lt;&gt;"",ROUND(E117-IF(G117="",0,G117),2)&lt;&gt;0),"; sales price "&amp;DOLLAR(IF(G117="",0,G117),2)&amp;" (ours "&amp;DOLLAR(E117,2)&amp;")","")&amp;".")&amp;CHAR(10)&amp;IF('Our DOs'!G109&lt;&gt;"","We sent this Delivery Order"&amp;IF('Our DOs'!I109="Yes",", with the hospital's purchase order number,","")&amp;" on "&amp;'Our DOs'!G109&amp;IF('Our DOs'!H109&lt;&gt;""," by "&amp;LOWER('Our DOs'!H109),"")&amp;". The Delivery Order is available on request.","The Delivery Order is available on request."),"")</f>
      </c>
      <c r="N117" s="25">
        <f>IF(AND(OR(I117="Missing",I117="Differs"),K117&lt;&gt;"No"),1,0)</f>
      </c>
    </row>
    <row r="118" spans="1:14" x14ac:dyDescent="0.25">
      <c r="A118" s="19">
        <f>IF('Our DOs'!A110="","",'Our DOs'!A110)</f>
      </c>
      <c r="B118" s="19">
        <f>IF(A118="","",'Our DOs'!B110)</f>
      </c>
      <c r="C118" s="19">
        <f>IF(A118="","",'Our DOs'!C110)</f>
      </c>
      <c r="D118" s="19">
        <f>IF(A118="","",'Our DOs'!D110)</f>
      </c>
      <c r="E118" s="22">
        <f>IF(A118="","",'Our DOs'!E110)</f>
      </c>
      <c r="F118" s="22">
        <f>IF(A118="","",'Our DOs'!F110)</f>
      </c>
      <c r="G118" s="22">
        <f>IF(OR(A118="",B118=""),"",IFERROR(INDEX('Their statement'!$D$2:$D$201,MATCH(B118,'Their statement'!$A$2:$A$201,0)),""))</f>
      </c>
      <c r="H118" s="22">
        <f>IF(OR(A118="",B118=""),"",IFERROR(INDEX('Their statement'!$E$2:$E$201,MATCH(B118,'Their statement'!$A$2:$A$201,0)),""))</f>
      </c>
      <c r="I118" s="19">
        <f>IF(A118="","",IF(B118="","No PO yet",IF(ISNUMBER(MATCH(B118,'Their statement'!$A$2:$A$201,0)),IF(AND(ROUND(F118-IF(H118="",0,H118),2)=0,OR(G118="",ROUND(E118-IF(G118="",0,G118),2)=0)),"Matches","Differs"),"Missing")))</f>
      </c>
      <c r="J118" s="22">
        <f>IF(OR(I118="Missing",I118="Differs"),F118-IF(H118="",0,H118),"")</f>
      </c>
      <c r="K118" s="10"/>
      <c r="L118" s="23">
        <f>IF(N118=1,SUM($N$10:N118),"")</f>
      </c>
      <c r="M118" s="24">
        <f>IF(N118=1,"Customer PO "&amp;B118&amp;" · "&amp;C118&amp;" · case "&amp;D118&amp;CHAR(10)&amp;"Sales "&amp;DOLLAR(E118,2)&amp;" · commission "&amp;DOLLAR(F118,2)&amp;CHAR(10)&amp;IF(I118="Missing","Not on your "&amp;Setup!$B$5&amp;" commission statement.","Your statement shows commission "&amp;DOLLAR(IF(H118="",0,H118),2)&amp;" (ours "&amp;DOLLAR(F118,2)&amp;")"&amp;IF(AND(G118&lt;&gt;"",ROUND(E118-IF(G118="",0,G118),2)&lt;&gt;0),"; sales price "&amp;DOLLAR(IF(G118="",0,G118),2)&amp;" (ours "&amp;DOLLAR(E118,2)&amp;")","")&amp;".")&amp;CHAR(10)&amp;IF('Our DOs'!G110&lt;&gt;"","We sent this Delivery Order"&amp;IF('Our DOs'!I110="Yes",", with the hospital's purchase order number,","")&amp;" on "&amp;'Our DOs'!G110&amp;IF('Our DOs'!H110&lt;&gt;""," by "&amp;LOWER('Our DOs'!H110),"")&amp;". The Delivery Order is available on request.","The Delivery Order is available on request."),"")</f>
      </c>
      <c r="N118" s="25">
        <f>IF(AND(OR(I118="Missing",I118="Differs"),K118&lt;&gt;"No"),1,0)</f>
      </c>
    </row>
    <row r="119" spans="1:14" x14ac:dyDescent="0.25">
      <c r="A119" s="19">
        <f>IF('Our DOs'!A111="","",'Our DOs'!A111)</f>
      </c>
      <c r="B119" s="19">
        <f>IF(A119="","",'Our DOs'!B111)</f>
      </c>
      <c r="C119" s="19">
        <f>IF(A119="","",'Our DOs'!C111)</f>
      </c>
      <c r="D119" s="19">
        <f>IF(A119="","",'Our DOs'!D111)</f>
      </c>
      <c r="E119" s="22">
        <f>IF(A119="","",'Our DOs'!E111)</f>
      </c>
      <c r="F119" s="22">
        <f>IF(A119="","",'Our DOs'!F111)</f>
      </c>
      <c r="G119" s="22">
        <f>IF(OR(A119="",B119=""),"",IFERROR(INDEX('Their statement'!$D$2:$D$201,MATCH(B119,'Their statement'!$A$2:$A$201,0)),""))</f>
      </c>
      <c r="H119" s="22">
        <f>IF(OR(A119="",B119=""),"",IFERROR(INDEX('Their statement'!$E$2:$E$201,MATCH(B119,'Their statement'!$A$2:$A$201,0)),""))</f>
      </c>
      <c r="I119" s="19">
        <f>IF(A119="","",IF(B119="","No PO yet",IF(ISNUMBER(MATCH(B119,'Their statement'!$A$2:$A$201,0)),IF(AND(ROUND(F119-IF(H119="",0,H119),2)=0,OR(G119="",ROUND(E119-IF(G119="",0,G119),2)=0)),"Matches","Differs"),"Missing")))</f>
      </c>
      <c r="J119" s="22">
        <f>IF(OR(I119="Missing",I119="Differs"),F119-IF(H119="",0,H119),"")</f>
      </c>
      <c r="K119" s="10"/>
      <c r="L119" s="23">
        <f>IF(N119=1,SUM($N$10:N119),"")</f>
      </c>
      <c r="M119" s="24">
        <f>IF(N119=1,"Customer PO "&amp;B119&amp;" · "&amp;C119&amp;" · case "&amp;D119&amp;CHAR(10)&amp;"Sales "&amp;DOLLAR(E119,2)&amp;" · commission "&amp;DOLLAR(F119,2)&amp;CHAR(10)&amp;IF(I119="Missing","Not on your "&amp;Setup!$B$5&amp;" commission statement.","Your statement shows commission "&amp;DOLLAR(IF(H119="",0,H119),2)&amp;" (ours "&amp;DOLLAR(F119,2)&amp;")"&amp;IF(AND(G119&lt;&gt;"",ROUND(E119-IF(G119="",0,G119),2)&lt;&gt;0),"; sales price "&amp;DOLLAR(IF(G119="",0,G119),2)&amp;" (ours "&amp;DOLLAR(E119,2)&amp;")","")&amp;".")&amp;CHAR(10)&amp;IF('Our DOs'!G111&lt;&gt;"","We sent this Delivery Order"&amp;IF('Our DOs'!I111="Yes",", with the hospital's purchase order number,","")&amp;" on "&amp;'Our DOs'!G111&amp;IF('Our DOs'!H111&lt;&gt;""," by "&amp;LOWER('Our DOs'!H111),"")&amp;". The Delivery Order is available on request.","The Delivery Order is available on request."),"")</f>
      </c>
      <c r="N119" s="25">
        <f>IF(AND(OR(I119="Missing",I119="Differs"),K119&lt;&gt;"No"),1,0)</f>
      </c>
    </row>
    <row r="120" spans="1:14" x14ac:dyDescent="0.25">
      <c r="A120" s="19">
        <f>IF('Our DOs'!A112="","",'Our DOs'!A112)</f>
      </c>
      <c r="B120" s="19">
        <f>IF(A120="","",'Our DOs'!B112)</f>
      </c>
      <c r="C120" s="19">
        <f>IF(A120="","",'Our DOs'!C112)</f>
      </c>
      <c r="D120" s="19">
        <f>IF(A120="","",'Our DOs'!D112)</f>
      </c>
      <c r="E120" s="22">
        <f>IF(A120="","",'Our DOs'!E112)</f>
      </c>
      <c r="F120" s="22">
        <f>IF(A120="","",'Our DOs'!F112)</f>
      </c>
      <c r="G120" s="22">
        <f>IF(OR(A120="",B120=""),"",IFERROR(INDEX('Their statement'!$D$2:$D$201,MATCH(B120,'Their statement'!$A$2:$A$201,0)),""))</f>
      </c>
      <c r="H120" s="22">
        <f>IF(OR(A120="",B120=""),"",IFERROR(INDEX('Their statement'!$E$2:$E$201,MATCH(B120,'Their statement'!$A$2:$A$201,0)),""))</f>
      </c>
      <c r="I120" s="19">
        <f>IF(A120="","",IF(B120="","No PO yet",IF(ISNUMBER(MATCH(B120,'Their statement'!$A$2:$A$201,0)),IF(AND(ROUND(F120-IF(H120="",0,H120),2)=0,OR(G120="",ROUND(E120-IF(G120="",0,G120),2)=0)),"Matches","Differs"),"Missing")))</f>
      </c>
      <c r="J120" s="22">
        <f>IF(OR(I120="Missing",I120="Differs"),F120-IF(H120="",0,H120),"")</f>
      </c>
      <c r="K120" s="10"/>
      <c r="L120" s="23">
        <f>IF(N120=1,SUM($N$10:N120),"")</f>
      </c>
      <c r="M120" s="24">
        <f>IF(N120=1,"Customer PO "&amp;B120&amp;" · "&amp;C120&amp;" · case "&amp;D120&amp;CHAR(10)&amp;"Sales "&amp;DOLLAR(E120,2)&amp;" · commission "&amp;DOLLAR(F120,2)&amp;CHAR(10)&amp;IF(I120="Missing","Not on your "&amp;Setup!$B$5&amp;" commission statement.","Your statement shows commission "&amp;DOLLAR(IF(H120="",0,H120),2)&amp;" (ours "&amp;DOLLAR(F120,2)&amp;")"&amp;IF(AND(G120&lt;&gt;"",ROUND(E120-IF(G120="",0,G120),2)&lt;&gt;0),"; sales price "&amp;DOLLAR(IF(G120="",0,G120),2)&amp;" (ours "&amp;DOLLAR(E120,2)&amp;")","")&amp;".")&amp;CHAR(10)&amp;IF('Our DOs'!G112&lt;&gt;"","We sent this Delivery Order"&amp;IF('Our DOs'!I112="Yes",", with the hospital's purchase order number,","")&amp;" on "&amp;'Our DOs'!G112&amp;IF('Our DOs'!H112&lt;&gt;""," by "&amp;LOWER('Our DOs'!H112),"")&amp;". The Delivery Order is available on request.","The Delivery Order is available on request."),"")</f>
      </c>
      <c r="N120" s="25">
        <f>IF(AND(OR(I120="Missing",I120="Differs"),K120&lt;&gt;"No"),1,0)</f>
      </c>
    </row>
    <row r="121" spans="1:14" x14ac:dyDescent="0.25">
      <c r="A121" s="19">
        <f>IF('Our DOs'!A113="","",'Our DOs'!A113)</f>
      </c>
      <c r="B121" s="19">
        <f>IF(A121="","",'Our DOs'!B113)</f>
      </c>
      <c r="C121" s="19">
        <f>IF(A121="","",'Our DOs'!C113)</f>
      </c>
      <c r="D121" s="19">
        <f>IF(A121="","",'Our DOs'!D113)</f>
      </c>
      <c r="E121" s="22">
        <f>IF(A121="","",'Our DOs'!E113)</f>
      </c>
      <c r="F121" s="22">
        <f>IF(A121="","",'Our DOs'!F113)</f>
      </c>
      <c r="G121" s="22">
        <f>IF(OR(A121="",B121=""),"",IFERROR(INDEX('Their statement'!$D$2:$D$201,MATCH(B121,'Their statement'!$A$2:$A$201,0)),""))</f>
      </c>
      <c r="H121" s="22">
        <f>IF(OR(A121="",B121=""),"",IFERROR(INDEX('Their statement'!$E$2:$E$201,MATCH(B121,'Their statement'!$A$2:$A$201,0)),""))</f>
      </c>
      <c r="I121" s="19">
        <f>IF(A121="","",IF(B121="","No PO yet",IF(ISNUMBER(MATCH(B121,'Their statement'!$A$2:$A$201,0)),IF(AND(ROUND(F121-IF(H121="",0,H121),2)=0,OR(G121="",ROUND(E121-IF(G121="",0,G121),2)=0)),"Matches","Differs"),"Missing")))</f>
      </c>
      <c r="J121" s="22">
        <f>IF(OR(I121="Missing",I121="Differs"),F121-IF(H121="",0,H121),"")</f>
      </c>
      <c r="K121" s="10"/>
      <c r="L121" s="23">
        <f>IF(N121=1,SUM($N$10:N121),"")</f>
      </c>
      <c r="M121" s="24">
        <f>IF(N121=1,"Customer PO "&amp;B121&amp;" · "&amp;C121&amp;" · case "&amp;D121&amp;CHAR(10)&amp;"Sales "&amp;DOLLAR(E121,2)&amp;" · commission "&amp;DOLLAR(F121,2)&amp;CHAR(10)&amp;IF(I121="Missing","Not on your "&amp;Setup!$B$5&amp;" commission statement.","Your statement shows commission "&amp;DOLLAR(IF(H121="",0,H121),2)&amp;" (ours "&amp;DOLLAR(F121,2)&amp;")"&amp;IF(AND(G121&lt;&gt;"",ROUND(E121-IF(G121="",0,G121),2)&lt;&gt;0),"; sales price "&amp;DOLLAR(IF(G121="",0,G121),2)&amp;" (ours "&amp;DOLLAR(E121,2)&amp;")","")&amp;".")&amp;CHAR(10)&amp;IF('Our DOs'!G113&lt;&gt;"","We sent this Delivery Order"&amp;IF('Our DOs'!I113="Yes",", with the hospital's purchase order number,","")&amp;" on "&amp;'Our DOs'!G113&amp;IF('Our DOs'!H113&lt;&gt;""," by "&amp;LOWER('Our DOs'!H113),"")&amp;". The Delivery Order is available on request.","The Delivery Order is available on request."),"")</f>
      </c>
      <c r="N121" s="25">
        <f>IF(AND(OR(I121="Missing",I121="Differs"),K121&lt;&gt;"No"),1,0)</f>
      </c>
    </row>
    <row r="122" spans="1:14" x14ac:dyDescent="0.25">
      <c r="A122" s="19">
        <f>IF('Our DOs'!A114="","",'Our DOs'!A114)</f>
      </c>
      <c r="B122" s="19">
        <f>IF(A122="","",'Our DOs'!B114)</f>
      </c>
      <c r="C122" s="19">
        <f>IF(A122="","",'Our DOs'!C114)</f>
      </c>
      <c r="D122" s="19">
        <f>IF(A122="","",'Our DOs'!D114)</f>
      </c>
      <c r="E122" s="22">
        <f>IF(A122="","",'Our DOs'!E114)</f>
      </c>
      <c r="F122" s="22">
        <f>IF(A122="","",'Our DOs'!F114)</f>
      </c>
      <c r="G122" s="22">
        <f>IF(OR(A122="",B122=""),"",IFERROR(INDEX('Their statement'!$D$2:$D$201,MATCH(B122,'Their statement'!$A$2:$A$201,0)),""))</f>
      </c>
      <c r="H122" s="22">
        <f>IF(OR(A122="",B122=""),"",IFERROR(INDEX('Their statement'!$E$2:$E$201,MATCH(B122,'Their statement'!$A$2:$A$201,0)),""))</f>
      </c>
      <c r="I122" s="19">
        <f>IF(A122="","",IF(B122="","No PO yet",IF(ISNUMBER(MATCH(B122,'Their statement'!$A$2:$A$201,0)),IF(AND(ROUND(F122-IF(H122="",0,H122),2)=0,OR(G122="",ROUND(E122-IF(G122="",0,G122),2)=0)),"Matches","Differs"),"Missing")))</f>
      </c>
      <c r="J122" s="22">
        <f>IF(OR(I122="Missing",I122="Differs"),F122-IF(H122="",0,H122),"")</f>
      </c>
      <c r="K122" s="10"/>
      <c r="L122" s="23">
        <f>IF(N122=1,SUM($N$10:N122),"")</f>
      </c>
      <c r="M122" s="24">
        <f>IF(N122=1,"Customer PO "&amp;B122&amp;" · "&amp;C122&amp;" · case "&amp;D122&amp;CHAR(10)&amp;"Sales "&amp;DOLLAR(E122,2)&amp;" · commission "&amp;DOLLAR(F122,2)&amp;CHAR(10)&amp;IF(I122="Missing","Not on your "&amp;Setup!$B$5&amp;" commission statement.","Your statement shows commission "&amp;DOLLAR(IF(H122="",0,H122),2)&amp;" (ours "&amp;DOLLAR(F122,2)&amp;")"&amp;IF(AND(G122&lt;&gt;"",ROUND(E122-IF(G122="",0,G122),2)&lt;&gt;0),"; sales price "&amp;DOLLAR(IF(G122="",0,G122),2)&amp;" (ours "&amp;DOLLAR(E122,2)&amp;")","")&amp;".")&amp;CHAR(10)&amp;IF('Our DOs'!G114&lt;&gt;"","We sent this Delivery Order"&amp;IF('Our DOs'!I114="Yes",", with the hospital's purchase order number,","")&amp;" on "&amp;'Our DOs'!G114&amp;IF('Our DOs'!H114&lt;&gt;""," by "&amp;LOWER('Our DOs'!H114),"")&amp;". The Delivery Order is available on request.","The Delivery Order is available on request."),"")</f>
      </c>
      <c r="N122" s="25">
        <f>IF(AND(OR(I122="Missing",I122="Differs"),K122&lt;&gt;"No"),1,0)</f>
      </c>
    </row>
    <row r="123" spans="1:14" x14ac:dyDescent="0.25">
      <c r="A123" s="19">
        <f>IF('Our DOs'!A115="","",'Our DOs'!A115)</f>
      </c>
      <c r="B123" s="19">
        <f>IF(A123="","",'Our DOs'!B115)</f>
      </c>
      <c r="C123" s="19">
        <f>IF(A123="","",'Our DOs'!C115)</f>
      </c>
      <c r="D123" s="19">
        <f>IF(A123="","",'Our DOs'!D115)</f>
      </c>
      <c r="E123" s="22">
        <f>IF(A123="","",'Our DOs'!E115)</f>
      </c>
      <c r="F123" s="22">
        <f>IF(A123="","",'Our DOs'!F115)</f>
      </c>
      <c r="G123" s="22">
        <f>IF(OR(A123="",B123=""),"",IFERROR(INDEX('Their statement'!$D$2:$D$201,MATCH(B123,'Their statement'!$A$2:$A$201,0)),""))</f>
      </c>
      <c r="H123" s="22">
        <f>IF(OR(A123="",B123=""),"",IFERROR(INDEX('Their statement'!$E$2:$E$201,MATCH(B123,'Their statement'!$A$2:$A$201,0)),""))</f>
      </c>
      <c r="I123" s="19">
        <f>IF(A123="","",IF(B123="","No PO yet",IF(ISNUMBER(MATCH(B123,'Their statement'!$A$2:$A$201,0)),IF(AND(ROUND(F123-IF(H123="",0,H123),2)=0,OR(G123="",ROUND(E123-IF(G123="",0,G123),2)=0)),"Matches","Differs"),"Missing")))</f>
      </c>
      <c r="J123" s="22">
        <f>IF(OR(I123="Missing",I123="Differs"),F123-IF(H123="",0,H123),"")</f>
      </c>
      <c r="K123" s="10"/>
      <c r="L123" s="23">
        <f>IF(N123=1,SUM($N$10:N123),"")</f>
      </c>
      <c r="M123" s="24">
        <f>IF(N123=1,"Customer PO "&amp;B123&amp;" · "&amp;C123&amp;" · case "&amp;D123&amp;CHAR(10)&amp;"Sales "&amp;DOLLAR(E123,2)&amp;" · commission "&amp;DOLLAR(F123,2)&amp;CHAR(10)&amp;IF(I123="Missing","Not on your "&amp;Setup!$B$5&amp;" commission statement.","Your statement shows commission "&amp;DOLLAR(IF(H123="",0,H123),2)&amp;" (ours "&amp;DOLLAR(F123,2)&amp;")"&amp;IF(AND(G123&lt;&gt;"",ROUND(E123-IF(G123="",0,G123),2)&lt;&gt;0),"; sales price "&amp;DOLLAR(IF(G123="",0,G123),2)&amp;" (ours "&amp;DOLLAR(E123,2)&amp;")","")&amp;".")&amp;CHAR(10)&amp;IF('Our DOs'!G115&lt;&gt;"","We sent this Delivery Order"&amp;IF('Our DOs'!I115="Yes",", with the hospital's purchase order number,","")&amp;" on "&amp;'Our DOs'!G115&amp;IF('Our DOs'!H115&lt;&gt;""," by "&amp;LOWER('Our DOs'!H115),"")&amp;". The Delivery Order is available on request.","The Delivery Order is available on request."),"")</f>
      </c>
      <c r="N123" s="25">
        <f>IF(AND(OR(I123="Missing",I123="Differs"),K123&lt;&gt;"No"),1,0)</f>
      </c>
    </row>
    <row r="124" spans="1:14" x14ac:dyDescent="0.25">
      <c r="A124" s="19">
        <f>IF('Our DOs'!A116="","",'Our DOs'!A116)</f>
      </c>
      <c r="B124" s="19">
        <f>IF(A124="","",'Our DOs'!B116)</f>
      </c>
      <c r="C124" s="19">
        <f>IF(A124="","",'Our DOs'!C116)</f>
      </c>
      <c r="D124" s="19">
        <f>IF(A124="","",'Our DOs'!D116)</f>
      </c>
      <c r="E124" s="22">
        <f>IF(A124="","",'Our DOs'!E116)</f>
      </c>
      <c r="F124" s="22">
        <f>IF(A124="","",'Our DOs'!F116)</f>
      </c>
      <c r="G124" s="22">
        <f>IF(OR(A124="",B124=""),"",IFERROR(INDEX('Their statement'!$D$2:$D$201,MATCH(B124,'Their statement'!$A$2:$A$201,0)),""))</f>
      </c>
      <c r="H124" s="22">
        <f>IF(OR(A124="",B124=""),"",IFERROR(INDEX('Their statement'!$E$2:$E$201,MATCH(B124,'Their statement'!$A$2:$A$201,0)),""))</f>
      </c>
      <c r="I124" s="19">
        <f>IF(A124="","",IF(B124="","No PO yet",IF(ISNUMBER(MATCH(B124,'Their statement'!$A$2:$A$201,0)),IF(AND(ROUND(F124-IF(H124="",0,H124),2)=0,OR(G124="",ROUND(E124-IF(G124="",0,G124),2)=0)),"Matches","Differs"),"Missing")))</f>
      </c>
      <c r="J124" s="22">
        <f>IF(OR(I124="Missing",I124="Differs"),F124-IF(H124="",0,H124),"")</f>
      </c>
      <c r="K124" s="10"/>
      <c r="L124" s="23">
        <f>IF(N124=1,SUM($N$10:N124),"")</f>
      </c>
      <c r="M124" s="24">
        <f>IF(N124=1,"Customer PO "&amp;B124&amp;" · "&amp;C124&amp;" · case "&amp;D124&amp;CHAR(10)&amp;"Sales "&amp;DOLLAR(E124,2)&amp;" · commission "&amp;DOLLAR(F124,2)&amp;CHAR(10)&amp;IF(I124="Missing","Not on your "&amp;Setup!$B$5&amp;" commission statement.","Your statement shows commission "&amp;DOLLAR(IF(H124="",0,H124),2)&amp;" (ours "&amp;DOLLAR(F124,2)&amp;")"&amp;IF(AND(G124&lt;&gt;"",ROUND(E124-IF(G124="",0,G124),2)&lt;&gt;0),"; sales price "&amp;DOLLAR(IF(G124="",0,G124),2)&amp;" (ours "&amp;DOLLAR(E124,2)&amp;")","")&amp;".")&amp;CHAR(10)&amp;IF('Our DOs'!G116&lt;&gt;"","We sent this Delivery Order"&amp;IF('Our DOs'!I116="Yes",", with the hospital's purchase order number,","")&amp;" on "&amp;'Our DOs'!G116&amp;IF('Our DOs'!H116&lt;&gt;""," by "&amp;LOWER('Our DOs'!H116),"")&amp;". The Delivery Order is available on request.","The Delivery Order is available on request."),"")</f>
      </c>
      <c r="N124" s="25">
        <f>IF(AND(OR(I124="Missing",I124="Differs"),K124&lt;&gt;"No"),1,0)</f>
      </c>
    </row>
    <row r="125" spans="1:14" x14ac:dyDescent="0.25">
      <c r="A125" s="19">
        <f>IF('Our DOs'!A117="","",'Our DOs'!A117)</f>
      </c>
      <c r="B125" s="19">
        <f>IF(A125="","",'Our DOs'!B117)</f>
      </c>
      <c r="C125" s="19">
        <f>IF(A125="","",'Our DOs'!C117)</f>
      </c>
      <c r="D125" s="19">
        <f>IF(A125="","",'Our DOs'!D117)</f>
      </c>
      <c r="E125" s="22">
        <f>IF(A125="","",'Our DOs'!E117)</f>
      </c>
      <c r="F125" s="22">
        <f>IF(A125="","",'Our DOs'!F117)</f>
      </c>
      <c r="G125" s="22">
        <f>IF(OR(A125="",B125=""),"",IFERROR(INDEX('Their statement'!$D$2:$D$201,MATCH(B125,'Their statement'!$A$2:$A$201,0)),""))</f>
      </c>
      <c r="H125" s="22">
        <f>IF(OR(A125="",B125=""),"",IFERROR(INDEX('Their statement'!$E$2:$E$201,MATCH(B125,'Their statement'!$A$2:$A$201,0)),""))</f>
      </c>
      <c r="I125" s="19">
        <f>IF(A125="","",IF(B125="","No PO yet",IF(ISNUMBER(MATCH(B125,'Their statement'!$A$2:$A$201,0)),IF(AND(ROUND(F125-IF(H125="",0,H125),2)=0,OR(G125="",ROUND(E125-IF(G125="",0,G125),2)=0)),"Matches","Differs"),"Missing")))</f>
      </c>
      <c r="J125" s="22">
        <f>IF(OR(I125="Missing",I125="Differs"),F125-IF(H125="",0,H125),"")</f>
      </c>
      <c r="K125" s="10"/>
      <c r="L125" s="23">
        <f>IF(N125=1,SUM($N$10:N125),"")</f>
      </c>
      <c r="M125" s="24">
        <f>IF(N125=1,"Customer PO "&amp;B125&amp;" · "&amp;C125&amp;" · case "&amp;D125&amp;CHAR(10)&amp;"Sales "&amp;DOLLAR(E125,2)&amp;" · commission "&amp;DOLLAR(F125,2)&amp;CHAR(10)&amp;IF(I125="Missing","Not on your "&amp;Setup!$B$5&amp;" commission statement.","Your statement shows commission "&amp;DOLLAR(IF(H125="",0,H125),2)&amp;" (ours "&amp;DOLLAR(F125,2)&amp;")"&amp;IF(AND(G125&lt;&gt;"",ROUND(E125-IF(G125="",0,G125),2)&lt;&gt;0),"; sales price "&amp;DOLLAR(IF(G125="",0,G125),2)&amp;" (ours "&amp;DOLLAR(E125,2)&amp;")","")&amp;".")&amp;CHAR(10)&amp;IF('Our DOs'!G117&lt;&gt;"","We sent this Delivery Order"&amp;IF('Our DOs'!I117="Yes",", with the hospital's purchase order number,","")&amp;" on "&amp;'Our DOs'!G117&amp;IF('Our DOs'!H117&lt;&gt;""," by "&amp;LOWER('Our DOs'!H117),"")&amp;". The Delivery Order is available on request.","The Delivery Order is available on request."),"")</f>
      </c>
      <c r="N125" s="25">
        <f>IF(AND(OR(I125="Missing",I125="Differs"),K125&lt;&gt;"No"),1,0)</f>
      </c>
    </row>
    <row r="126" spans="1:14" x14ac:dyDescent="0.25">
      <c r="A126" s="19">
        <f>IF('Our DOs'!A118="","",'Our DOs'!A118)</f>
      </c>
      <c r="B126" s="19">
        <f>IF(A126="","",'Our DOs'!B118)</f>
      </c>
      <c r="C126" s="19">
        <f>IF(A126="","",'Our DOs'!C118)</f>
      </c>
      <c r="D126" s="19">
        <f>IF(A126="","",'Our DOs'!D118)</f>
      </c>
      <c r="E126" s="22">
        <f>IF(A126="","",'Our DOs'!E118)</f>
      </c>
      <c r="F126" s="22">
        <f>IF(A126="","",'Our DOs'!F118)</f>
      </c>
      <c r="G126" s="22">
        <f>IF(OR(A126="",B126=""),"",IFERROR(INDEX('Their statement'!$D$2:$D$201,MATCH(B126,'Their statement'!$A$2:$A$201,0)),""))</f>
      </c>
      <c r="H126" s="22">
        <f>IF(OR(A126="",B126=""),"",IFERROR(INDEX('Their statement'!$E$2:$E$201,MATCH(B126,'Their statement'!$A$2:$A$201,0)),""))</f>
      </c>
      <c r="I126" s="19">
        <f>IF(A126="","",IF(B126="","No PO yet",IF(ISNUMBER(MATCH(B126,'Their statement'!$A$2:$A$201,0)),IF(AND(ROUND(F126-IF(H126="",0,H126),2)=0,OR(G126="",ROUND(E126-IF(G126="",0,G126),2)=0)),"Matches","Differs"),"Missing")))</f>
      </c>
      <c r="J126" s="22">
        <f>IF(OR(I126="Missing",I126="Differs"),F126-IF(H126="",0,H126),"")</f>
      </c>
      <c r="K126" s="10"/>
      <c r="L126" s="23">
        <f>IF(N126=1,SUM($N$10:N126),"")</f>
      </c>
      <c r="M126" s="24">
        <f>IF(N126=1,"Customer PO "&amp;B126&amp;" · "&amp;C126&amp;" · case "&amp;D126&amp;CHAR(10)&amp;"Sales "&amp;DOLLAR(E126,2)&amp;" · commission "&amp;DOLLAR(F126,2)&amp;CHAR(10)&amp;IF(I126="Missing","Not on your "&amp;Setup!$B$5&amp;" commission statement.","Your statement shows commission "&amp;DOLLAR(IF(H126="",0,H126),2)&amp;" (ours "&amp;DOLLAR(F126,2)&amp;")"&amp;IF(AND(G126&lt;&gt;"",ROUND(E126-IF(G126="",0,G126),2)&lt;&gt;0),"; sales price "&amp;DOLLAR(IF(G126="",0,G126),2)&amp;" (ours "&amp;DOLLAR(E126,2)&amp;")","")&amp;".")&amp;CHAR(10)&amp;IF('Our DOs'!G118&lt;&gt;"","We sent this Delivery Order"&amp;IF('Our DOs'!I118="Yes",", with the hospital's purchase order number,","")&amp;" on "&amp;'Our DOs'!G118&amp;IF('Our DOs'!H118&lt;&gt;""," by "&amp;LOWER('Our DOs'!H118),"")&amp;". The Delivery Order is available on request.","The Delivery Order is available on request."),"")</f>
      </c>
      <c r="N126" s="25">
        <f>IF(AND(OR(I126="Missing",I126="Differs"),K126&lt;&gt;"No"),1,0)</f>
      </c>
    </row>
    <row r="127" spans="1:14" x14ac:dyDescent="0.25">
      <c r="A127" s="19">
        <f>IF('Our DOs'!A119="","",'Our DOs'!A119)</f>
      </c>
      <c r="B127" s="19">
        <f>IF(A127="","",'Our DOs'!B119)</f>
      </c>
      <c r="C127" s="19">
        <f>IF(A127="","",'Our DOs'!C119)</f>
      </c>
      <c r="D127" s="19">
        <f>IF(A127="","",'Our DOs'!D119)</f>
      </c>
      <c r="E127" s="22">
        <f>IF(A127="","",'Our DOs'!E119)</f>
      </c>
      <c r="F127" s="22">
        <f>IF(A127="","",'Our DOs'!F119)</f>
      </c>
      <c r="G127" s="22">
        <f>IF(OR(A127="",B127=""),"",IFERROR(INDEX('Their statement'!$D$2:$D$201,MATCH(B127,'Their statement'!$A$2:$A$201,0)),""))</f>
      </c>
      <c r="H127" s="22">
        <f>IF(OR(A127="",B127=""),"",IFERROR(INDEX('Their statement'!$E$2:$E$201,MATCH(B127,'Their statement'!$A$2:$A$201,0)),""))</f>
      </c>
      <c r="I127" s="19">
        <f>IF(A127="","",IF(B127="","No PO yet",IF(ISNUMBER(MATCH(B127,'Their statement'!$A$2:$A$201,0)),IF(AND(ROUND(F127-IF(H127="",0,H127),2)=0,OR(G127="",ROUND(E127-IF(G127="",0,G127),2)=0)),"Matches","Differs"),"Missing")))</f>
      </c>
      <c r="J127" s="22">
        <f>IF(OR(I127="Missing",I127="Differs"),F127-IF(H127="",0,H127),"")</f>
      </c>
      <c r="K127" s="10"/>
      <c r="L127" s="23">
        <f>IF(N127=1,SUM($N$10:N127),"")</f>
      </c>
      <c r="M127" s="24">
        <f>IF(N127=1,"Customer PO "&amp;B127&amp;" · "&amp;C127&amp;" · case "&amp;D127&amp;CHAR(10)&amp;"Sales "&amp;DOLLAR(E127,2)&amp;" · commission "&amp;DOLLAR(F127,2)&amp;CHAR(10)&amp;IF(I127="Missing","Not on your "&amp;Setup!$B$5&amp;" commission statement.","Your statement shows commission "&amp;DOLLAR(IF(H127="",0,H127),2)&amp;" (ours "&amp;DOLLAR(F127,2)&amp;")"&amp;IF(AND(G127&lt;&gt;"",ROUND(E127-IF(G127="",0,G127),2)&lt;&gt;0),"; sales price "&amp;DOLLAR(IF(G127="",0,G127),2)&amp;" (ours "&amp;DOLLAR(E127,2)&amp;")","")&amp;".")&amp;CHAR(10)&amp;IF('Our DOs'!G119&lt;&gt;"","We sent this Delivery Order"&amp;IF('Our DOs'!I119="Yes",", with the hospital's purchase order number,","")&amp;" on "&amp;'Our DOs'!G119&amp;IF('Our DOs'!H119&lt;&gt;""," by "&amp;LOWER('Our DOs'!H119),"")&amp;". The Delivery Order is available on request.","The Delivery Order is available on request."),"")</f>
      </c>
      <c r="N127" s="25">
        <f>IF(AND(OR(I127="Missing",I127="Differs"),K127&lt;&gt;"No"),1,0)</f>
      </c>
    </row>
    <row r="128" spans="1:14" x14ac:dyDescent="0.25">
      <c r="A128" s="19">
        <f>IF('Our DOs'!A120="","",'Our DOs'!A120)</f>
      </c>
      <c r="B128" s="19">
        <f>IF(A128="","",'Our DOs'!B120)</f>
      </c>
      <c r="C128" s="19">
        <f>IF(A128="","",'Our DOs'!C120)</f>
      </c>
      <c r="D128" s="19">
        <f>IF(A128="","",'Our DOs'!D120)</f>
      </c>
      <c r="E128" s="22">
        <f>IF(A128="","",'Our DOs'!E120)</f>
      </c>
      <c r="F128" s="22">
        <f>IF(A128="","",'Our DOs'!F120)</f>
      </c>
      <c r="G128" s="22">
        <f>IF(OR(A128="",B128=""),"",IFERROR(INDEX('Their statement'!$D$2:$D$201,MATCH(B128,'Their statement'!$A$2:$A$201,0)),""))</f>
      </c>
      <c r="H128" s="22">
        <f>IF(OR(A128="",B128=""),"",IFERROR(INDEX('Their statement'!$E$2:$E$201,MATCH(B128,'Their statement'!$A$2:$A$201,0)),""))</f>
      </c>
      <c r="I128" s="19">
        <f>IF(A128="","",IF(B128="","No PO yet",IF(ISNUMBER(MATCH(B128,'Their statement'!$A$2:$A$201,0)),IF(AND(ROUND(F128-IF(H128="",0,H128),2)=0,OR(G128="",ROUND(E128-IF(G128="",0,G128),2)=0)),"Matches","Differs"),"Missing")))</f>
      </c>
      <c r="J128" s="22">
        <f>IF(OR(I128="Missing",I128="Differs"),F128-IF(H128="",0,H128),"")</f>
      </c>
      <c r="K128" s="10"/>
      <c r="L128" s="23">
        <f>IF(N128=1,SUM($N$10:N128),"")</f>
      </c>
      <c r="M128" s="24">
        <f>IF(N128=1,"Customer PO "&amp;B128&amp;" · "&amp;C128&amp;" · case "&amp;D128&amp;CHAR(10)&amp;"Sales "&amp;DOLLAR(E128,2)&amp;" · commission "&amp;DOLLAR(F128,2)&amp;CHAR(10)&amp;IF(I128="Missing","Not on your "&amp;Setup!$B$5&amp;" commission statement.","Your statement shows commission "&amp;DOLLAR(IF(H128="",0,H128),2)&amp;" (ours "&amp;DOLLAR(F128,2)&amp;")"&amp;IF(AND(G128&lt;&gt;"",ROUND(E128-IF(G128="",0,G128),2)&lt;&gt;0),"; sales price "&amp;DOLLAR(IF(G128="",0,G128),2)&amp;" (ours "&amp;DOLLAR(E128,2)&amp;")","")&amp;".")&amp;CHAR(10)&amp;IF('Our DOs'!G120&lt;&gt;"","We sent this Delivery Order"&amp;IF('Our DOs'!I120="Yes",", with the hospital's purchase order number,","")&amp;" on "&amp;'Our DOs'!G120&amp;IF('Our DOs'!H120&lt;&gt;""," by "&amp;LOWER('Our DOs'!H120),"")&amp;". The Delivery Order is available on request.","The Delivery Order is available on request."),"")</f>
      </c>
      <c r="N128" s="25">
        <f>IF(AND(OR(I128="Missing",I128="Differs"),K128&lt;&gt;"No"),1,0)</f>
      </c>
    </row>
    <row r="129" spans="1:14" x14ac:dyDescent="0.25">
      <c r="A129" s="19">
        <f>IF('Our DOs'!A121="","",'Our DOs'!A121)</f>
      </c>
      <c r="B129" s="19">
        <f>IF(A129="","",'Our DOs'!B121)</f>
      </c>
      <c r="C129" s="19">
        <f>IF(A129="","",'Our DOs'!C121)</f>
      </c>
      <c r="D129" s="19">
        <f>IF(A129="","",'Our DOs'!D121)</f>
      </c>
      <c r="E129" s="22">
        <f>IF(A129="","",'Our DOs'!E121)</f>
      </c>
      <c r="F129" s="22">
        <f>IF(A129="","",'Our DOs'!F121)</f>
      </c>
      <c r="G129" s="22">
        <f>IF(OR(A129="",B129=""),"",IFERROR(INDEX('Their statement'!$D$2:$D$201,MATCH(B129,'Their statement'!$A$2:$A$201,0)),""))</f>
      </c>
      <c r="H129" s="22">
        <f>IF(OR(A129="",B129=""),"",IFERROR(INDEX('Their statement'!$E$2:$E$201,MATCH(B129,'Their statement'!$A$2:$A$201,0)),""))</f>
      </c>
      <c r="I129" s="19">
        <f>IF(A129="","",IF(B129="","No PO yet",IF(ISNUMBER(MATCH(B129,'Their statement'!$A$2:$A$201,0)),IF(AND(ROUND(F129-IF(H129="",0,H129),2)=0,OR(G129="",ROUND(E129-IF(G129="",0,G129),2)=0)),"Matches","Differs"),"Missing")))</f>
      </c>
      <c r="J129" s="22">
        <f>IF(OR(I129="Missing",I129="Differs"),F129-IF(H129="",0,H129),"")</f>
      </c>
      <c r="K129" s="10"/>
      <c r="L129" s="23">
        <f>IF(N129=1,SUM($N$10:N129),"")</f>
      </c>
      <c r="M129" s="24">
        <f>IF(N129=1,"Customer PO "&amp;B129&amp;" · "&amp;C129&amp;" · case "&amp;D129&amp;CHAR(10)&amp;"Sales "&amp;DOLLAR(E129,2)&amp;" · commission "&amp;DOLLAR(F129,2)&amp;CHAR(10)&amp;IF(I129="Missing","Not on your "&amp;Setup!$B$5&amp;" commission statement.","Your statement shows commission "&amp;DOLLAR(IF(H129="",0,H129),2)&amp;" (ours "&amp;DOLLAR(F129,2)&amp;")"&amp;IF(AND(G129&lt;&gt;"",ROUND(E129-IF(G129="",0,G129),2)&lt;&gt;0),"; sales price "&amp;DOLLAR(IF(G129="",0,G129),2)&amp;" (ours "&amp;DOLLAR(E129,2)&amp;")","")&amp;".")&amp;CHAR(10)&amp;IF('Our DOs'!G121&lt;&gt;"","We sent this Delivery Order"&amp;IF('Our DOs'!I121="Yes",", with the hospital's purchase order number,","")&amp;" on "&amp;'Our DOs'!G121&amp;IF('Our DOs'!H121&lt;&gt;""," by "&amp;LOWER('Our DOs'!H121),"")&amp;". The Delivery Order is available on request.","The Delivery Order is available on request."),"")</f>
      </c>
      <c r="N129" s="25">
        <f>IF(AND(OR(I129="Missing",I129="Differs"),K129&lt;&gt;"No"),1,0)</f>
      </c>
    </row>
    <row r="130" spans="1:14" x14ac:dyDescent="0.25">
      <c r="A130" s="19">
        <f>IF('Our DOs'!A122="","",'Our DOs'!A122)</f>
      </c>
      <c r="B130" s="19">
        <f>IF(A130="","",'Our DOs'!B122)</f>
      </c>
      <c r="C130" s="19">
        <f>IF(A130="","",'Our DOs'!C122)</f>
      </c>
      <c r="D130" s="19">
        <f>IF(A130="","",'Our DOs'!D122)</f>
      </c>
      <c r="E130" s="22">
        <f>IF(A130="","",'Our DOs'!E122)</f>
      </c>
      <c r="F130" s="22">
        <f>IF(A130="","",'Our DOs'!F122)</f>
      </c>
      <c r="G130" s="22">
        <f>IF(OR(A130="",B130=""),"",IFERROR(INDEX('Their statement'!$D$2:$D$201,MATCH(B130,'Their statement'!$A$2:$A$201,0)),""))</f>
      </c>
      <c r="H130" s="22">
        <f>IF(OR(A130="",B130=""),"",IFERROR(INDEX('Their statement'!$E$2:$E$201,MATCH(B130,'Their statement'!$A$2:$A$201,0)),""))</f>
      </c>
      <c r="I130" s="19">
        <f>IF(A130="","",IF(B130="","No PO yet",IF(ISNUMBER(MATCH(B130,'Their statement'!$A$2:$A$201,0)),IF(AND(ROUND(F130-IF(H130="",0,H130),2)=0,OR(G130="",ROUND(E130-IF(G130="",0,G130),2)=0)),"Matches","Differs"),"Missing")))</f>
      </c>
      <c r="J130" s="22">
        <f>IF(OR(I130="Missing",I130="Differs"),F130-IF(H130="",0,H130),"")</f>
      </c>
      <c r="K130" s="10"/>
      <c r="L130" s="23">
        <f>IF(N130=1,SUM($N$10:N130),"")</f>
      </c>
      <c r="M130" s="24">
        <f>IF(N130=1,"Customer PO "&amp;B130&amp;" · "&amp;C130&amp;" · case "&amp;D130&amp;CHAR(10)&amp;"Sales "&amp;DOLLAR(E130,2)&amp;" · commission "&amp;DOLLAR(F130,2)&amp;CHAR(10)&amp;IF(I130="Missing","Not on your "&amp;Setup!$B$5&amp;" commission statement.","Your statement shows commission "&amp;DOLLAR(IF(H130="",0,H130),2)&amp;" (ours "&amp;DOLLAR(F130,2)&amp;")"&amp;IF(AND(G130&lt;&gt;"",ROUND(E130-IF(G130="",0,G130),2)&lt;&gt;0),"; sales price "&amp;DOLLAR(IF(G130="",0,G130),2)&amp;" (ours "&amp;DOLLAR(E130,2)&amp;")","")&amp;".")&amp;CHAR(10)&amp;IF('Our DOs'!G122&lt;&gt;"","We sent this Delivery Order"&amp;IF('Our DOs'!I122="Yes",", with the hospital's purchase order number,","")&amp;" on "&amp;'Our DOs'!G122&amp;IF('Our DOs'!H122&lt;&gt;""," by "&amp;LOWER('Our DOs'!H122),"")&amp;". The Delivery Order is available on request.","The Delivery Order is available on request."),"")</f>
      </c>
      <c r="N130" s="25">
        <f>IF(AND(OR(I130="Missing",I130="Differs"),K130&lt;&gt;"No"),1,0)</f>
      </c>
    </row>
    <row r="131" spans="1:14" x14ac:dyDescent="0.25">
      <c r="A131" s="19">
        <f>IF('Our DOs'!A123="","",'Our DOs'!A123)</f>
      </c>
      <c r="B131" s="19">
        <f>IF(A131="","",'Our DOs'!B123)</f>
      </c>
      <c r="C131" s="19">
        <f>IF(A131="","",'Our DOs'!C123)</f>
      </c>
      <c r="D131" s="19">
        <f>IF(A131="","",'Our DOs'!D123)</f>
      </c>
      <c r="E131" s="22">
        <f>IF(A131="","",'Our DOs'!E123)</f>
      </c>
      <c r="F131" s="22">
        <f>IF(A131="","",'Our DOs'!F123)</f>
      </c>
      <c r="G131" s="22">
        <f>IF(OR(A131="",B131=""),"",IFERROR(INDEX('Their statement'!$D$2:$D$201,MATCH(B131,'Their statement'!$A$2:$A$201,0)),""))</f>
      </c>
      <c r="H131" s="22">
        <f>IF(OR(A131="",B131=""),"",IFERROR(INDEX('Their statement'!$E$2:$E$201,MATCH(B131,'Their statement'!$A$2:$A$201,0)),""))</f>
      </c>
      <c r="I131" s="19">
        <f>IF(A131="","",IF(B131="","No PO yet",IF(ISNUMBER(MATCH(B131,'Their statement'!$A$2:$A$201,0)),IF(AND(ROUND(F131-IF(H131="",0,H131),2)=0,OR(G131="",ROUND(E131-IF(G131="",0,G131),2)=0)),"Matches","Differs"),"Missing")))</f>
      </c>
      <c r="J131" s="22">
        <f>IF(OR(I131="Missing",I131="Differs"),F131-IF(H131="",0,H131),"")</f>
      </c>
      <c r="K131" s="10"/>
      <c r="L131" s="23">
        <f>IF(N131=1,SUM($N$10:N131),"")</f>
      </c>
      <c r="M131" s="24">
        <f>IF(N131=1,"Customer PO "&amp;B131&amp;" · "&amp;C131&amp;" · case "&amp;D131&amp;CHAR(10)&amp;"Sales "&amp;DOLLAR(E131,2)&amp;" · commission "&amp;DOLLAR(F131,2)&amp;CHAR(10)&amp;IF(I131="Missing","Not on your "&amp;Setup!$B$5&amp;" commission statement.","Your statement shows commission "&amp;DOLLAR(IF(H131="",0,H131),2)&amp;" (ours "&amp;DOLLAR(F131,2)&amp;")"&amp;IF(AND(G131&lt;&gt;"",ROUND(E131-IF(G131="",0,G131),2)&lt;&gt;0),"; sales price "&amp;DOLLAR(IF(G131="",0,G131),2)&amp;" (ours "&amp;DOLLAR(E131,2)&amp;")","")&amp;".")&amp;CHAR(10)&amp;IF('Our DOs'!G123&lt;&gt;"","We sent this Delivery Order"&amp;IF('Our DOs'!I123="Yes",", with the hospital's purchase order number,","")&amp;" on "&amp;'Our DOs'!G123&amp;IF('Our DOs'!H123&lt;&gt;""," by "&amp;LOWER('Our DOs'!H123),"")&amp;". The Delivery Order is available on request.","The Delivery Order is available on request."),"")</f>
      </c>
      <c r="N131" s="25">
        <f>IF(AND(OR(I131="Missing",I131="Differs"),K131&lt;&gt;"No"),1,0)</f>
      </c>
    </row>
    <row r="132" spans="1:14" x14ac:dyDescent="0.25">
      <c r="A132" s="19">
        <f>IF('Our DOs'!A124="","",'Our DOs'!A124)</f>
      </c>
      <c r="B132" s="19">
        <f>IF(A132="","",'Our DOs'!B124)</f>
      </c>
      <c r="C132" s="19">
        <f>IF(A132="","",'Our DOs'!C124)</f>
      </c>
      <c r="D132" s="19">
        <f>IF(A132="","",'Our DOs'!D124)</f>
      </c>
      <c r="E132" s="22">
        <f>IF(A132="","",'Our DOs'!E124)</f>
      </c>
      <c r="F132" s="22">
        <f>IF(A132="","",'Our DOs'!F124)</f>
      </c>
      <c r="G132" s="22">
        <f>IF(OR(A132="",B132=""),"",IFERROR(INDEX('Their statement'!$D$2:$D$201,MATCH(B132,'Their statement'!$A$2:$A$201,0)),""))</f>
      </c>
      <c r="H132" s="22">
        <f>IF(OR(A132="",B132=""),"",IFERROR(INDEX('Their statement'!$E$2:$E$201,MATCH(B132,'Their statement'!$A$2:$A$201,0)),""))</f>
      </c>
      <c r="I132" s="19">
        <f>IF(A132="","",IF(B132="","No PO yet",IF(ISNUMBER(MATCH(B132,'Their statement'!$A$2:$A$201,0)),IF(AND(ROUND(F132-IF(H132="",0,H132),2)=0,OR(G132="",ROUND(E132-IF(G132="",0,G132),2)=0)),"Matches","Differs"),"Missing")))</f>
      </c>
      <c r="J132" s="22">
        <f>IF(OR(I132="Missing",I132="Differs"),F132-IF(H132="",0,H132),"")</f>
      </c>
      <c r="K132" s="10"/>
      <c r="L132" s="23">
        <f>IF(N132=1,SUM($N$10:N132),"")</f>
      </c>
      <c r="M132" s="24">
        <f>IF(N132=1,"Customer PO "&amp;B132&amp;" · "&amp;C132&amp;" · case "&amp;D132&amp;CHAR(10)&amp;"Sales "&amp;DOLLAR(E132,2)&amp;" · commission "&amp;DOLLAR(F132,2)&amp;CHAR(10)&amp;IF(I132="Missing","Not on your "&amp;Setup!$B$5&amp;" commission statement.","Your statement shows commission "&amp;DOLLAR(IF(H132="",0,H132),2)&amp;" (ours "&amp;DOLLAR(F132,2)&amp;")"&amp;IF(AND(G132&lt;&gt;"",ROUND(E132-IF(G132="",0,G132),2)&lt;&gt;0),"; sales price "&amp;DOLLAR(IF(G132="",0,G132),2)&amp;" (ours "&amp;DOLLAR(E132,2)&amp;")","")&amp;".")&amp;CHAR(10)&amp;IF('Our DOs'!G124&lt;&gt;"","We sent this Delivery Order"&amp;IF('Our DOs'!I124="Yes",", with the hospital's purchase order number,","")&amp;" on "&amp;'Our DOs'!G124&amp;IF('Our DOs'!H124&lt;&gt;""," by "&amp;LOWER('Our DOs'!H124),"")&amp;". The Delivery Order is available on request.","The Delivery Order is available on request."),"")</f>
      </c>
      <c r="N132" s="25">
        <f>IF(AND(OR(I132="Missing",I132="Differs"),K132&lt;&gt;"No"),1,0)</f>
      </c>
    </row>
    <row r="133" spans="1:14" x14ac:dyDescent="0.25">
      <c r="A133" s="19">
        <f>IF('Our DOs'!A125="","",'Our DOs'!A125)</f>
      </c>
      <c r="B133" s="19">
        <f>IF(A133="","",'Our DOs'!B125)</f>
      </c>
      <c r="C133" s="19">
        <f>IF(A133="","",'Our DOs'!C125)</f>
      </c>
      <c r="D133" s="19">
        <f>IF(A133="","",'Our DOs'!D125)</f>
      </c>
      <c r="E133" s="22">
        <f>IF(A133="","",'Our DOs'!E125)</f>
      </c>
      <c r="F133" s="22">
        <f>IF(A133="","",'Our DOs'!F125)</f>
      </c>
      <c r="G133" s="22">
        <f>IF(OR(A133="",B133=""),"",IFERROR(INDEX('Their statement'!$D$2:$D$201,MATCH(B133,'Their statement'!$A$2:$A$201,0)),""))</f>
      </c>
      <c r="H133" s="22">
        <f>IF(OR(A133="",B133=""),"",IFERROR(INDEX('Their statement'!$E$2:$E$201,MATCH(B133,'Their statement'!$A$2:$A$201,0)),""))</f>
      </c>
      <c r="I133" s="19">
        <f>IF(A133="","",IF(B133="","No PO yet",IF(ISNUMBER(MATCH(B133,'Their statement'!$A$2:$A$201,0)),IF(AND(ROUND(F133-IF(H133="",0,H133),2)=0,OR(G133="",ROUND(E133-IF(G133="",0,G133),2)=0)),"Matches","Differs"),"Missing")))</f>
      </c>
      <c r="J133" s="22">
        <f>IF(OR(I133="Missing",I133="Differs"),F133-IF(H133="",0,H133),"")</f>
      </c>
      <c r="K133" s="10"/>
      <c r="L133" s="23">
        <f>IF(N133=1,SUM($N$10:N133),"")</f>
      </c>
      <c r="M133" s="24">
        <f>IF(N133=1,"Customer PO "&amp;B133&amp;" · "&amp;C133&amp;" · case "&amp;D133&amp;CHAR(10)&amp;"Sales "&amp;DOLLAR(E133,2)&amp;" · commission "&amp;DOLLAR(F133,2)&amp;CHAR(10)&amp;IF(I133="Missing","Not on your "&amp;Setup!$B$5&amp;" commission statement.","Your statement shows commission "&amp;DOLLAR(IF(H133="",0,H133),2)&amp;" (ours "&amp;DOLLAR(F133,2)&amp;")"&amp;IF(AND(G133&lt;&gt;"",ROUND(E133-IF(G133="",0,G133),2)&lt;&gt;0),"; sales price "&amp;DOLLAR(IF(G133="",0,G133),2)&amp;" (ours "&amp;DOLLAR(E133,2)&amp;")","")&amp;".")&amp;CHAR(10)&amp;IF('Our DOs'!G125&lt;&gt;"","We sent this Delivery Order"&amp;IF('Our DOs'!I125="Yes",", with the hospital's purchase order number,","")&amp;" on "&amp;'Our DOs'!G125&amp;IF('Our DOs'!H125&lt;&gt;""," by "&amp;LOWER('Our DOs'!H125),"")&amp;". The Delivery Order is available on request.","The Delivery Order is available on request."),"")</f>
      </c>
      <c r="N133" s="25">
        <f>IF(AND(OR(I133="Missing",I133="Differs"),K133&lt;&gt;"No"),1,0)</f>
      </c>
    </row>
    <row r="134" spans="1:14" x14ac:dyDescent="0.25">
      <c r="A134" s="19">
        <f>IF('Our DOs'!A126="","",'Our DOs'!A126)</f>
      </c>
      <c r="B134" s="19">
        <f>IF(A134="","",'Our DOs'!B126)</f>
      </c>
      <c r="C134" s="19">
        <f>IF(A134="","",'Our DOs'!C126)</f>
      </c>
      <c r="D134" s="19">
        <f>IF(A134="","",'Our DOs'!D126)</f>
      </c>
      <c r="E134" s="22">
        <f>IF(A134="","",'Our DOs'!E126)</f>
      </c>
      <c r="F134" s="22">
        <f>IF(A134="","",'Our DOs'!F126)</f>
      </c>
      <c r="G134" s="22">
        <f>IF(OR(A134="",B134=""),"",IFERROR(INDEX('Their statement'!$D$2:$D$201,MATCH(B134,'Their statement'!$A$2:$A$201,0)),""))</f>
      </c>
      <c r="H134" s="22">
        <f>IF(OR(A134="",B134=""),"",IFERROR(INDEX('Their statement'!$E$2:$E$201,MATCH(B134,'Their statement'!$A$2:$A$201,0)),""))</f>
      </c>
      <c r="I134" s="19">
        <f>IF(A134="","",IF(B134="","No PO yet",IF(ISNUMBER(MATCH(B134,'Their statement'!$A$2:$A$201,0)),IF(AND(ROUND(F134-IF(H134="",0,H134),2)=0,OR(G134="",ROUND(E134-IF(G134="",0,G134),2)=0)),"Matches","Differs"),"Missing")))</f>
      </c>
      <c r="J134" s="22">
        <f>IF(OR(I134="Missing",I134="Differs"),F134-IF(H134="",0,H134),"")</f>
      </c>
      <c r="K134" s="10"/>
      <c r="L134" s="23">
        <f>IF(N134=1,SUM($N$10:N134),"")</f>
      </c>
      <c r="M134" s="24">
        <f>IF(N134=1,"Customer PO "&amp;B134&amp;" · "&amp;C134&amp;" · case "&amp;D134&amp;CHAR(10)&amp;"Sales "&amp;DOLLAR(E134,2)&amp;" · commission "&amp;DOLLAR(F134,2)&amp;CHAR(10)&amp;IF(I134="Missing","Not on your "&amp;Setup!$B$5&amp;" commission statement.","Your statement shows commission "&amp;DOLLAR(IF(H134="",0,H134),2)&amp;" (ours "&amp;DOLLAR(F134,2)&amp;")"&amp;IF(AND(G134&lt;&gt;"",ROUND(E134-IF(G134="",0,G134),2)&lt;&gt;0),"; sales price "&amp;DOLLAR(IF(G134="",0,G134),2)&amp;" (ours "&amp;DOLLAR(E134,2)&amp;")","")&amp;".")&amp;CHAR(10)&amp;IF('Our DOs'!G126&lt;&gt;"","We sent this Delivery Order"&amp;IF('Our DOs'!I126="Yes",", with the hospital's purchase order number,","")&amp;" on "&amp;'Our DOs'!G126&amp;IF('Our DOs'!H126&lt;&gt;""," by "&amp;LOWER('Our DOs'!H126),"")&amp;". The Delivery Order is available on request.","The Delivery Order is available on request."),"")</f>
      </c>
      <c r="N134" s="25">
        <f>IF(AND(OR(I134="Missing",I134="Differs"),K134&lt;&gt;"No"),1,0)</f>
      </c>
    </row>
    <row r="135" spans="1:14" x14ac:dyDescent="0.25">
      <c r="A135" s="19">
        <f>IF('Our DOs'!A127="","",'Our DOs'!A127)</f>
      </c>
      <c r="B135" s="19">
        <f>IF(A135="","",'Our DOs'!B127)</f>
      </c>
      <c r="C135" s="19">
        <f>IF(A135="","",'Our DOs'!C127)</f>
      </c>
      <c r="D135" s="19">
        <f>IF(A135="","",'Our DOs'!D127)</f>
      </c>
      <c r="E135" s="22">
        <f>IF(A135="","",'Our DOs'!E127)</f>
      </c>
      <c r="F135" s="22">
        <f>IF(A135="","",'Our DOs'!F127)</f>
      </c>
      <c r="G135" s="22">
        <f>IF(OR(A135="",B135=""),"",IFERROR(INDEX('Their statement'!$D$2:$D$201,MATCH(B135,'Their statement'!$A$2:$A$201,0)),""))</f>
      </c>
      <c r="H135" s="22">
        <f>IF(OR(A135="",B135=""),"",IFERROR(INDEX('Their statement'!$E$2:$E$201,MATCH(B135,'Their statement'!$A$2:$A$201,0)),""))</f>
      </c>
      <c r="I135" s="19">
        <f>IF(A135="","",IF(B135="","No PO yet",IF(ISNUMBER(MATCH(B135,'Their statement'!$A$2:$A$201,0)),IF(AND(ROUND(F135-IF(H135="",0,H135),2)=0,OR(G135="",ROUND(E135-IF(G135="",0,G135),2)=0)),"Matches","Differs"),"Missing")))</f>
      </c>
      <c r="J135" s="22">
        <f>IF(OR(I135="Missing",I135="Differs"),F135-IF(H135="",0,H135),"")</f>
      </c>
      <c r="K135" s="10"/>
      <c r="L135" s="23">
        <f>IF(N135=1,SUM($N$10:N135),"")</f>
      </c>
      <c r="M135" s="24">
        <f>IF(N135=1,"Customer PO "&amp;B135&amp;" · "&amp;C135&amp;" · case "&amp;D135&amp;CHAR(10)&amp;"Sales "&amp;DOLLAR(E135,2)&amp;" · commission "&amp;DOLLAR(F135,2)&amp;CHAR(10)&amp;IF(I135="Missing","Not on your "&amp;Setup!$B$5&amp;" commission statement.","Your statement shows commission "&amp;DOLLAR(IF(H135="",0,H135),2)&amp;" (ours "&amp;DOLLAR(F135,2)&amp;")"&amp;IF(AND(G135&lt;&gt;"",ROUND(E135-IF(G135="",0,G135),2)&lt;&gt;0),"; sales price "&amp;DOLLAR(IF(G135="",0,G135),2)&amp;" (ours "&amp;DOLLAR(E135,2)&amp;")","")&amp;".")&amp;CHAR(10)&amp;IF('Our DOs'!G127&lt;&gt;"","We sent this Delivery Order"&amp;IF('Our DOs'!I127="Yes",", with the hospital's purchase order number,","")&amp;" on "&amp;'Our DOs'!G127&amp;IF('Our DOs'!H127&lt;&gt;""," by "&amp;LOWER('Our DOs'!H127),"")&amp;". The Delivery Order is available on request.","The Delivery Order is available on request."),"")</f>
      </c>
      <c r="N135" s="25">
        <f>IF(AND(OR(I135="Missing",I135="Differs"),K135&lt;&gt;"No"),1,0)</f>
      </c>
    </row>
    <row r="136" spans="1:14" x14ac:dyDescent="0.25">
      <c r="A136" s="19">
        <f>IF('Our DOs'!A128="","",'Our DOs'!A128)</f>
      </c>
      <c r="B136" s="19">
        <f>IF(A136="","",'Our DOs'!B128)</f>
      </c>
      <c r="C136" s="19">
        <f>IF(A136="","",'Our DOs'!C128)</f>
      </c>
      <c r="D136" s="19">
        <f>IF(A136="","",'Our DOs'!D128)</f>
      </c>
      <c r="E136" s="22">
        <f>IF(A136="","",'Our DOs'!E128)</f>
      </c>
      <c r="F136" s="22">
        <f>IF(A136="","",'Our DOs'!F128)</f>
      </c>
      <c r="G136" s="22">
        <f>IF(OR(A136="",B136=""),"",IFERROR(INDEX('Their statement'!$D$2:$D$201,MATCH(B136,'Their statement'!$A$2:$A$201,0)),""))</f>
      </c>
      <c r="H136" s="22">
        <f>IF(OR(A136="",B136=""),"",IFERROR(INDEX('Their statement'!$E$2:$E$201,MATCH(B136,'Their statement'!$A$2:$A$201,0)),""))</f>
      </c>
      <c r="I136" s="19">
        <f>IF(A136="","",IF(B136="","No PO yet",IF(ISNUMBER(MATCH(B136,'Their statement'!$A$2:$A$201,0)),IF(AND(ROUND(F136-IF(H136="",0,H136),2)=0,OR(G136="",ROUND(E136-IF(G136="",0,G136),2)=0)),"Matches","Differs"),"Missing")))</f>
      </c>
      <c r="J136" s="22">
        <f>IF(OR(I136="Missing",I136="Differs"),F136-IF(H136="",0,H136),"")</f>
      </c>
      <c r="K136" s="10"/>
      <c r="L136" s="23">
        <f>IF(N136=1,SUM($N$10:N136),"")</f>
      </c>
      <c r="M136" s="24">
        <f>IF(N136=1,"Customer PO "&amp;B136&amp;" · "&amp;C136&amp;" · case "&amp;D136&amp;CHAR(10)&amp;"Sales "&amp;DOLLAR(E136,2)&amp;" · commission "&amp;DOLLAR(F136,2)&amp;CHAR(10)&amp;IF(I136="Missing","Not on your "&amp;Setup!$B$5&amp;" commission statement.","Your statement shows commission "&amp;DOLLAR(IF(H136="",0,H136),2)&amp;" (ours "&amp;DOLLAR(F136,2)&amp;")"&amp;IF(AND(G136&lt;&gt;"",ROUND(E136-IF(G136="",0,G136),2)&lt;&gt;0),"; sales price "&amp;DOLLAR(IF(G136="",0,G136),2)&amp;" (ours "&amp;DOLLAR(E136,2)&amp;")","")&amp;".")&amp;CHAR(10)&amp;IF('Our DOs'!G128&lt;&gt;"","We sent this Delivery Order"&amp;IF('Our DOs'!I128="Yes",", with the hospital's purchase order number,","")&amp;" on "&amp;'Our DOs'!G128&amp;IF('Our DOs'!H128&lt;&gt;""," by "&amp;LOWER('Our DOs'!H128),"")&amp;". The Delivery Order is available on request.","The Delivery Order is available on request."),"")</f>
      </c>
      <c r="N136" s="25">
        <f>IF(AND(OR(I136="Missing",I136="Differs"),K136&lt;&gt;"No"),1,0)</f>
      </c>
    </row>
    <row r="137" spans="1:14" x14ac:dyDescent="0.25">
      <c r="A137" s="19">
        <f>IF('Our DOs'!A129="","",'Our DOs'!A129)</f>
      </c>
      <c r="B137" s="19">
        <f>IF(A137="","",'Our DOs'!B129)</f>
      </c>
      <c r="C137" s="19">
        <f>IF(A137="","",'Our DOs'!C129)</f>
      </c>
      <c r="D137" s="19">
        <f>IF(A137="","",'Our DOs'!D129)</f>
      </c>
      <c r="E137" s="22">
        <f>IF(A137="","",'Our DOs'!E129)</f>
      </c>
      <c r="F137" s="22">
        <f>IF(A137="","",'Our DOs'!F129)</f>
      </c>
      <c r="G137" s="22">
        <f>IF(OR(A137="",B137=""),"",IFERROR(INDEX('Their statement'!$D$2:$D$201,MATCH(B137,'Their statement'!$A$2:$A$201,0)),""))</f>
      </c>
      <c r="H137" s="22">
        <f>IF(OR(A137="",B137=""),"",IFERROR(INDEX('Their statement'!$E$2:$E$201,MATCH(B137,'Their statement'!$A$2:$A$201,0)),""))</f>
      </c>
      <c r="I137" s="19">
        <f>IF(A137="","",IF(B137="","No PO yet",IF(ISNUMBER(MATCH(B137,'Their statement'!$A$2:$A$201,0)),IF(AND(ROUND(F137-IF(H137="",0,H137),2)=0,OR(G137="",ROUND(E137-IF(G137="",0,G137),2)=0)),"Matches","Differs"),"Missing")))</f>
      </c>
      <c r="J137" s="22">
        <f>IF(OR(I137="Missing",I137="Differs"),F137-IF(H137="",0,H137),"")</f>
      </c>
      <c r="K137" s="10"/>
      <c r="L137" s="23">
        <f>IF(N137=1,SUM($N$10:N137),"")</f>
      </c>
      <c r="M137" s="24">
        <f>IF(N137=1,"Customer PO "&amp;B137&amp;" · "&amp;C137&amp;" · case "&amp;D137&amp;CHAR(10)&amp;"Sales "&amp;DOLLAR(E137,2)&amp;" · commission "&amp;DOLLAR(F137,2)&amp;CHAR(10)&amp;IF(I137="Missing","Not on your "&amp;Setup!$B$5&amp;" commission statement.","Your statement shows commission "&amp;DOLLAR(IF(H137="",0,H137),2)&amp;" (ours "&amp;DOLLAR(F137,2)&amp;")"&amp;IF(AND(G137&lt;&gt;"",ROUND(E137-IF(G137="",0,G137),2)&lt;&gt;0),"; sales price "&amp;DOLLAR(IF(G137="",0,G137),2)&amp;" (ours "&amp;DOLLAR(E137,2)&amp;")","")&amp;".")&amp;CHAR(10)&amp;IF('Our DOs'!G129&lt;&gt;"","We sent this Delivery Order"&amp;IF('Our DOs'!I129="Yes",", with the hospital's purchase order number,","")&amp;" on "&amp;'Our DOs'!G129&amp;IF('Our DOs'!H129&lt;&gt;""," by "&amp;LOWER('Our DOs'!H129),"")&amp;". The Delivery Order is available on request.","The Delivery Order is available on request."),"")</f>
      </c>
      <c r="N137" s="25">
        <f>IF(AND(OR(I137="Missing",I137="Differs"),K137&lt;&gt;"No"),1,0)</f>
      </c>
    </row>
    <row r="138" spans="1:14" x14ac:dyDescent="0.25">
      <c r="A138" s="19">
        <f>IF('Our DOs'!A130="","",'Our DOs'!A130)</f>
      </c>
      <c r="B138" s="19">
        <f>IF(A138="","",'Our DOs'!B130)</f>
      </c>
      <c r="C138" s="19">
        <f>IF(A138="","",'Our DOs'!C130)</f>
      </c>
      <c r="D138" s="19">
        <f>IF(A138="","",'Our DOs'!D130)</f>
      </c>
      <c r="E138" s="22">
        <f>IF(A138="","",'Our DOs'!E130)</f>
      </c>
      <c r="F138" s="22">
        <f>IF(A138="","",'Our DOs'!F130)</f>
      </c>
      <c r="G138" s="22">
        <f>IF(OR(A138="",B138=""),"",IFERROR(INDEX('Their statement'!$D$2:$D$201,MATCH(B138,'Their statement'!$A$2:$A$201,0)),""))</f>
      </c>
      <c r="H138" s="22">
        <f>IF(OR(A138="",B138=""),"",IFERROR(INDEX('Their statement'!$E$2:$E$201,MATCH(B138,'Their statement'!$A$2:$A$201,0)),""))</f>
      </c>
      <c r="I138" s="19">
        <f>IF(A138="","",IF(B138="","No PO yet",IF(ISNUMBER(MATCH(B138,'Their statement'!$A$2:$A$201,0)),IF(AND(ROUND(F138-IF(H138="",0,H138),2)=0,OR(G138="",ROUND(E138-IF(G138="",0,G138),2)=0)),"Matches","Differs"),"Missing")))</f>
      </c>
      <c r="J138" s="22">
        <f>IF(OR(I138="Missing",I138="Differs"),F138-IF(H138="",0,H138),"")</f>
      </c>
      <c r="K138" s="10"/>
      <c r="L138" s="23">
        <f>IF(N138=1,SUM($N$10:N138),"")</f>
      </c>
      <c r="M138" s="24">
        <f>IF(N138=1,"Customer PO "&amp;B138&amp;" · "&amp;C138&amp;" · case "&amp;D138&amp;CHAR(10)&amp;"Sales "&amp;DOLLAR(E138,2)&amp;" · commission "&amp;DOLLAR(F138,2)&amp;CHAR(10)&amp;IF(I138="Missing","Not on your "&amp;Setup!$B$5&amp;" commission statement.","Your statement shows commission "&amp;DOLLAR(IF(H138="",0,H138),2)&amp;" (ours "&amp;DOLLAR(F138,2)&amp;")"&amp;IF(AND(G138&lt;&gt;"",ROUND(E138-IF(G138="",0,G138),2)&lt;&gt;0),"; sales price "&amp;DOLLAR(IF(G138="",0,G138),2)&amp;" (ours "&amp;DOLLAR(E138,2)&amp;")","")&amp;".")&amp;CHAR(10)&amp;IF('Our DOs'!G130&lt;&gt;"","We sent this Delivery Order"&amp;IF('Our DOs'!I130="Yes",", with the hospital's purchase order number,","")&amp;" on "&amp;'Our DOs'!G130&amp;IF('Our DOs'!H130&lt;&gt;""," by "&amp;LOWER('Our DOs'!H130),"")&amp;". The Delivery Order is available on request.","The Delivery Order is available on request."),"")</f>
      </c>
      <c r="N138" s="25">
        <f>IF(AND(OR(I138="Missing",I138="Differs"),K138&lt;&gt;"No"),1,0)</f>
      </c>
    </row>
    <row r="139" spans="1:14" x14ac:dyDescent="0.25">
      <c r="A139" s="19">
        <f>IF('Our DOs'!A131="","",'Our DOs'!A131)</f>
      </c>
      <c r="B139" s="19">
        <f>IF(A139="","",'Our DOs'!B131)</f>
      </c>
      <c r="C139" s="19">
        <f>IF(A139="","",'Our DOs'!C131)</f>
      </c>
      <c r="D139" s="19">
        <f>IF(A139="","",'Our DOs'!D131)</f>
      </c>
      <c r="E139" s="22">
        <f>IF(A139="","",'Our DOs'!E131)</f>
      </c>
      <c r="F139" s="22">
        <f>IF(A139="","",'Our DOs'!F131)</f>
      </c>
      <c r="G139" s="22">
        <f>IF(OR(A139="",B139=""),"",IFERROR(INDEX('Their statement'!$D$2:$D$201,MATCH(B139,'Their statement'!$A$2:$A$201,0)),""))</f>
      </c>
      <c r="H139" s="22">
        <f>IF(OR(A139="",B139=""),"",IFERROR(INDEX('Their statement'!$E$2:$E$201,MATCH(B139,'Their statement'!$A$2:$A$201,0)),""))</f>
      </c>
      <c r="I139" s="19">
        <f>IF(A139="","",IF(B139="","No PO yet",IF(ISNUMBER(MATCH(B139,'Their statement'!$A$2:$A$201,0)),IF(AND(ROUND(F139-IF(H139="",0,H139),2)=0,OR(G139="",ROUND(E139-IF(G139="",0,G139),2)=0)),"Matches","Differs"),"Missing")))</f>
      </c>
      <c r="J139" s="22">
        <f>IF(OR(I139="Missing",I139="Differs"),F139-IF(H139="",0,H139),"")</f>
      </c>
      <c r="K139" s="10"/>
      <c r="L139" s="23">
        <f>IF(N139=1,SUM($N$10:N139),"")</f>
      </c>
      <c r="M139" s="24">
        <f>IF(N139=1,"Customer PO "&amp;B139&amp;" · "&amp;C139&amp;" · case "&amp;D139&amp;CHAR(10)&amp;"Sales "&amp;DOLLAR(E139,2)&amp;" · commission "&amp;DOLLAR(F139,2)&amp;CHAR(10)&amp;IF(I139="Missing","Not on your "&amp;Setup!$B$5&amp;" commission statement.","Your statement shows commission "&amp;DOLLAR(IF(H139="",0,H139),2)&amp;" (ours "&amp;DOLLAR(F139,2)&amp;")"&amp;IF(AND(G139&lt;&gt;"",ROUND(E139-IF(G139="",0,G139),2)&lt;&gt;0),"; sales price "&amp;DOLLAR(IF(G139="",0,G139),2)&amp;" (ours "&amp;DOLLAR(E139,2)&amp;")","")&amp;".")&amp;CHAR(10)&amp;IF('Our DOs'!G131&lt;&gt;"","We sent this Delivery Order"&amp;IF('Our DOs'!I131="Yes",", with the hospital's purchase order number,","")&amp;" on "&amp;'Our DOs'!G131&amp;IF('Our DOs'!H131&lt;&gt;""," by "&amp;LOWER('Our DOs'!H131),"")&amp;". The Delivery Order is available on request.","The Delivery Order is available on request."),"")</f>
      </c>
      <c r="N139" s="25">
        <f>IF(AND(OR(I139="Missing",I139="Differs"),K139&lt;&gt;"No"),1,0)</f>
      </c>
    </row>
    <row r="140" spans="1:14" x14ac:dyDescent="0.25">
      <c r="A140" s="19">
        <f>IF('Our DOs'!A132="","",'Our DOs'!A132)</f>
      </c>
      <c r="B140" s="19">
        <f>IF(A140="","",'Our DOs'!B132)</f>
      </c>
      <c r="C140" s="19">
        <f>IF(A140="","",'Our DOs'!C132)</f>
      </c>
      <c r="D140" s="19">
        <f>IF(A140="","",'Our DOs'!D132)</f>
      </c>
      <c r="E140" s="22">
        <f>IF(A140="","",'Our DOs'!E132)</f>
      </c>
      <c r="F140" s="22">
        <f>IF(A140="","",'Our DOs'!F132)</f>
      </c>
      <c r="G140" s="22">
        <f>IF(OR(A140="",B140=""),"",IFERROR(INDEX('Their statement'!$D$2:$D$201,MATCH(B140,'Their statement'!$A$2:$A$201,0)),""))</f>
      </c>
      <c r="H140" s="22">
        <f>IF(OR(A140="",B140=""),"",IFERROR(INDEX('Their statement'!$E$2:$E$201,MATCH(B140,'Their statement'!$A$2:$A$201,0)),""))</f>
      </c>
      <c r="I140" s="19">
        <f>IF(A140="","",IF(B140="","No PO yet",IF(ISNUMBER(MATCH(B140,'Their statement'!$A$2:$A$201,0)),IF(AND(ROUND(F140-IF(H140="",0,H140),2)=0,OR(G140="",ROUND(E140-IF(G140="",0,G140),2)=0)),"Matches","Differs"),"Missing")))</f>
      </c>
      <c r="J140" s="22">
        <f>IF(OR(I140="Missing",I140="Differs"),F140-IF(H140="",0,H140),"")</f>
      </c>
      <c r="K140" s="10"/>
      <c r="L140" s="23">
        <f>IF(N140=1,SUM($N$10:N140),"")</f>
      </c>
      <c r="M140" s="24">
        <f>IF(N140=1,"Customer PO "&amp;B140&amp;" · "&amp;C140&amp;" · case "&amp;D140&amp;CHAR(10)&amp;"Sales "&amp;DOLLAR(E140,2)&amp;" · commission "&amp;DOLLAR(F140,2)&amp;CHAR(10)&amp;IF(I140="Missing","Not on your "&amp;Setup!$B$5&amp;" commission statement.","Your statement shows commission "&amp;DOLLAR(IF(H140="",0,H140),2)&amp;" (ours "&amp;DOLLAR(F140,2)&amp;")"&amp;IF(AND(G140&lt;&gt;"",ROUND(E140-IF(G140="",0,G140),2)&lt;&gt;0),"; sales price "&amp;DOLLAR(IF(G140="",0,G140),2)&amp;" (ours "&amp;DOLLAR(E140,2)&amp;")","")&amp;".")&amp;CHAR(10)&amp;IF('Our DOs'!G132&lt;&gt;"","We sent this Delivery Order"&amp;IF('Our DOs'!I132="Yes",", with the hospital's purchase order number,","")&amp;" on "&amp;'Our DOs'!G132&amp;IF('Our DOs'!H132&lt;&gt;""," by "&amp;LOWER('Our DOs'!H132),"")&amp;". The Delivery Order is available on request.","The Delivery Order is available on request."),"")</f>
      </c>
      <c r="N140" s="25">
        <f>IF(AND(OR(I140="Missing",I140="Differs"),K140&lt;&gt;"No"),1,0)</f>
      </c>
    </row>
    <row r="141" spans="1:14" x14ac:dyDescent="0.25">
      <c r="A141" s="19">
        <f>IF('Our DOs'!A133="","",'Our DOs'!A133)</f>
      </c>
      <c r="B141" s="19">
        <f>IF(A141="","",'Our DOs'!B133)</f>
      </c>
      <c r="C141" s="19">
        <f>IF(A141="","",'Our DOs'!C133)</f>
      </c>
      <c r="D141" s="19">
        <f>IF(A141="","",'Our DOs'!D133)</f>
      </c>
      <c r="E141" s="22">
        <f>IF(A141="","",'Our DOs'!E133)</f>
      </c>
      <c r="F141" s="22">
        <f>IF(A141="","",'Our DOs'!F133)</f>
      </c>
      <c r="G141" s="22">
        <f>IF(OR(A141="",B141=""),"",IFERROR(INDEX('Their statement'!$D$2:$D$201,MATCH(B141,'Their statement'!$A$2:$A$201,0)),""))</f>
      </c>
      <c r="H141" s="22">
        <f>IF(OR(A141="",B141=""),"",IFERROR(INDEX('Their statement'!$E$2:$E$201,MATCH(B141,'Their statement'!$A$2:$A$201,0)),""))</f>
      </c>
      <c r="I141" s="19">
        <f>IF(A141="","",IF(B141="","No PO yet",IF(ISNUMBER(MATCH(B141,'Their statement'!$A$2:$A$201,0)),IF(AND(ROUND(F141-IF(H141="",0,H141),2)=0,OR(G141="",ROUND(E141-IF(G141="",0,G141),2)=0)),"Matches","Differs"),"Missing")))</f>
      </c>
      <c r="J141" s="22">
        <f>IF(OR(I141="Missing",I141="Differs"),F141-IF(H141="",0,H141),"")</f>
      </c>
      <c r="K141" s="10"/>
      <c r="L141" s="23">
        <f>IF(N141=1,SUM($N$10:N141),"")</f>
      </c>
      <c r="M141" s="24">
        <f>IF(N141=1,"Customer PO "&amp;B141&amp;" · "&amp;C141&amp;" · case "&amp;D141&amp;CHAR(10)&amp;"Sales "&amp;DOLLAR(E141,2)&amp;" · commission "&amp;DOLLAR(F141,2)&amp;CHAR(10)&amp;IF(I141="Missing","Not on your "&amp;Setup!$B$5&amp;" commission statement.","Your statement shows commission "&amp;DOLLAR(IF(H141="",0,H141),2)&amp;" (ours "&amp;DOLLAR(F141,2)&amp;")"&amp;IF(AND(G141&lt;&gt;"",ROUND(E141-IF(G141="",0,G141),2)&lt;&gt;0),"; sales price "&amp;DOLLAR(IF(G141="",0,G141),2)&amp;" (ours "&amp;DOLLAR(E141,2)&amp;")","")&amp;".")&amp;CHAR(10)&amp;IF('Our DOs'!G133&lt;&gt;"","We sent this Delivery Order"&amp;IF('Our DOs'!I133="Yes",", with the hospital's purchase order number,","")&amp;" on "&amp;'Our DOs'!G133&amp;IF('Our DOs'!H133&lt;&gt;""," by "&amp;LOWER('Our DOs'!H133),"")&amp;". The Delivery Order is available on request.","The Delivery Order is available on request."),"")</f>
      </c>
      <c r="N141" s="25">
        <f>IF(AND(OR(I141="Missing",I141="Differs"),K141&lt;&gt;"No"),1,0)</f>
      </c>
    </row>
    <row r="142" spans="1:14" x14ac:dyDescent="0.25">
      <c r="A142" s="19">
        <f>IF('Our DOs'!A134="","",'Our DOs'!A134)</f>
      </c>
      <c r="B142" s="19">
        <f>IF(A142="","",'Our DOs'!B134)</f>
      </c>
      <c r="C142" s="19">
        <f>IF(A142="","",'Our DOs'!C134)</f>
      </c>
      <c r="D142" s="19">
        <f>IF(A142="","",'Our DOs'!D134)</f>
      </c>
      <c r="E142" s="22">
        <f>IF(A142="","",'Our DOs'!E134)</f>
      </c>
      <c r="F142" s="22">
        <f>IF(A142="","",'Our DOs'!F134)</f>
      </c>
      <c r="G142" s="22">
        <f>IF(OR(A142="",B142=""),"",IFERROR(INDEX('Their statement'!$D$2:$D$201,MATCH(B142,'Their statement'!$A$2:$A$201,0)),""))</f>
      </c>
      <c r="H142" s="22">
        <f>IF(OR(A142="",B142=""),"",IFERROR(INDEX('Their statement'!$E$2:$E$201,MATCH(B142,'Their statement'!$A$2:$A$201,0)),""))</f>
      </c>
      <c r="I142" s="19">
        <f>IF(A142="","",IF(B142="","No PO yet",IF(ISNUMBER(MATCH(B142,'Their statement'!$A$2:$A$201,0)),IF(AND(ROUND(F142-IF(H142="",0,H142),2)=0,OR(G142="",ROUND(E142-IF(G142="",0,G142),2)=0)),"Matches","Differs"),"Missing")))</f>
      </c>
      <c r="J142" s="22">
        <f>IF(OR(I142="Missing",I142="Differs"),F142-IF(H142="",0,H142),"")</f>
      </c>
      <c r="K142" s="10"/>
      <c r="L142" s="23">
        <f>IF(N142=1,SUM($N$10:N142),"")</f>
      </c>
      <c r="M142" s="24">
        <f>IF(N142=1,"Customer PO "&amp;B142&amp;" · "&amp;C142&amp;" · case "&amp;D142&amp;CHAR(10)&amp;"Sales "&amp;DOLLAR(E142,2)&amp;" · commission "&amp;DOLLAR(F142,2)&amp;CHAR(10)&amp;IF(I142="Missing","Not on your "&amp;Setup!$B$5&amp;" commission statement.","Your statement shows commission "&amp;DOLLAR(IF(H142="",0,H142),2)&amp;" (ours "&amp;DOLLAR(F142,2)&amp;")"&amp;IF(AND(G142&lt;&gt;"",ROUND(E142-IF(G142="",0,G142),2)&lt;&gt;0),"; sales price "&amp;DOLLAR(IF(G142="",0,G142),2)&amp;" (ours "&amp;DOLLAR(E142,2)&amp;")","")&amp;".")&amp;CHAR(10)&amp;IF('Our DOs'!G134&lt;&gt;"","We sent this Delivery Order"&amp;IF('Our DOs'!I134="Yes",", with the hospital's purchase order number,","")&amp;" on "&amp;'Our DOs'!G134&amp;IF('Our DOs'!H134&lt;&gt;""," by "&amp;LOWER('Our DOs'!H134),"")&amp;". The Delivery Order is available on request.","The Delivery Order is available on request."),"")</f>
      </c>
      <c r="N142" s="25">
        <f>IF(AND(OR(I142="Missing",I142="Differs"),K142&lt;&gt;"No"),1,0)</f>
      </c>
    </row>
    <row r="143" spans="1:14" x14ac:dyDescent="0.25">
      <c r="A143" s="19">
        <f>IF('Our DOs'!A135="","",'Our DOs'!A135)</f>
      </c>
      <c r="B143" s="19">
        <f>IF(A143="","",'Our DOs'!B135)</f>
      </c>
      <c r="C143" s="19">
        <f>IF(A143="","",'Our DOs'!C135)</f>
      </c>
      <c r="D143" s="19">
        <f>IF(A143="","",'Our DOs'!D135)</f>
      </c>
      <c r="E143" s="22">
        <f>IF(A143="","",'Our DOs'!E135)</f>
      </c>
      <c r="F143" s="22">
        <f>IF(A143="","",'Our DOs'!F135)</f>
      </c>
      <c r="G143" s="22">
        <f>IF(OR(A143="",B143=""),"",IFERROR(INDEX('Their statement'!$D$2:$D$201,MATCH(B143,'Their statement'!$A$2:$A$201,0)),""))</f>
      </c>
      <c r="H143" s="22">
        <f>IF(OR(A143="",B143=""),"",IFERROR(INDEX('Their statement'!$E$2:$E$201,MATCH(B143,'Their statement'!$A$2:$A$201,0)),""))</f>
      </c>
      <c r="I143" s="19">
        <f>IF(A143="","",IF(B143="","No PO yet",IF(ISNUMBER(MATCH(B143,'Their statement'!$A$2:$A$201,0)),IF(AND(ROUND(F143-IF(H143="",0,H143),2)=0,OR(G143="",ROUND(E143-IF(G143="",0,G143),2)=0)),"Matches","Differs"),"Missing")))</f>
      </c>
      <c r="J143" s="22">
        <f>IF(OR(I143="Missing",I143="Differs"),F143-IF(H143="",0,H143),"")</f>
      </c>
      <c r="K143" s="10"/>
      <c r="L143" s="23">
        <f>IF(N143=1,SUM($N$10:N143),"")</f>
      </c>
      <c r="M143" s="24">
        <f>IF(N143=1,"Customer PO "&amp;B143&amp;" · "&amp;C143&amp;" · case "&amp;D143&amp;CHAR(10)&amp;"Sales "&amp;DOLLAR(E143,2)&amp;" · commission "&amp;DOLLAR(F143,2)&amp;CHAR(10)&amp;IF(I143="Missing","Not on your "&amp;Setup!$B$5&amp;" commission statement.","Your statement shows commission "&amp;DOLLAR(IF(H143="",0,H143),2)&amp;" (ours "&amp;DOLLAR(F143,2)&amp;")"&amp;IF(AND(G143&lt;&gt;"",ROUND(E143-IF(G143="",0,G143),2)&lt;&gt;0),"; sales price "&amp;DOLLAR(IF(G143="",0,G143),2)&amp;" (ours "&amp;DOLLAR(E143,2)&amp;")","")&amp;".")&amp;CHAR(10)&amp;IF('Our DOs'!G135&lt;&gt;"","We sent this Delivery Order"&amp;IF('Our DOs'!I135="Yes",", with the hospital's purchase order number,","")&amp;" on "&amp;'Our DOs'!G135&amp;IF('Our DOs'!H135&lt;&gt;""," by "&amp;LOWER('Our DOs'!H135),"")&amp;". The Delivery Order is available on request.","The Delivery Order is available on request."),"")</f>
      </c>
      <c r="N143" s="25">
        <f>IF(AND(OR(I143="Missing",I143="Differs"),K143&lt;&gt;"No"),1,0)</f>
      </c>
    </row>
    <row r="144" spans="1:14" x14ac:dyDescent="0.25">
      <c r="A144" s="19">
        <f>IF('Our DOs'!A136="","",'Our DOs'!A136)</f>
      </c>
      <c r="B144" s="19">
        <f>IF(A144="","",'Our DOs'!B136)</f>
      </c>
      <c r="C144" s="19">
        <f>IF(A144="","",'Our DOs'!C136)</f>
      </c>
      <c r="D144" s="19">
        <f>IF(A144="","",'Our DOs'!D136)</f>
      </c>
      <c r="E144" s="22">
        <f>IF(A144="","",'Our DOs'!E136)</f>
      </c>
      <c r="F144" s="22">
        <f>IF(A144="","",'Our DOs'!F136)</f>
      </c>
      <c r="G144" s="22">
        <f>IF(OR(A144="",B144=""),"",IFERROR(INDEX('Their statement'!$D$2:$D$201,MATCH(B144,'Their statement'!$A$2:$A$201,0)),""))</f>
      </c>
      <c r="H144" s="22">
        <f>IF(OR(A144="",B144=""),"",IFERROR(INDEX('Their statement'!$E$2:$E$201,MATCH(B144,'Their statement'!$A$2:$A$201,0)),""))</f>
      </c>
      <c r="I144" s="19">
        <f>IF(A144="","",IF(B144="","No PO yet",IF(ISNUMBER(MATCH(B144,'Their statement'!$A$2:$A$201,0)),IF(AND(ROUND(F144-IF(H144="",0,H144),2)=0,OR(G144="",ROUND(E144-IF(G144="",0,G144),2)=0)),"Matches","Differs"),"Missing")))</f>
      </c>
      <c r="J144" s="22">
        <f>IF(OR(I144="Missing",I144="Differs"),F144-IF(H144="",0,H144),"")</f>
      </c>
      <c r="K144" s="10"/>
      <c r="L144" s="23">
        <f>IF(N144=1,SUM($N$10:N144),"")</f>
      </c>
      <c r="M144" s="24">
        <f>IF(N144=1,"Customer PO "&amp;B144&amp;" · "&amp;C144&amp;" · case "&amp;D144&amp;CHAR(10)&amp;"Sales "&amp;DOLLAR(E144,2)&amp;" · commission "&amp;DOLLAR(F144,2)&amp;CHAR(10)&amp;IF(I144="Missing","Not on your "&amp;Setup!$B$5&amp;" commission statement.","Your statement shows commission "&amp;DOLLAR(IF(H144="",0,H144),2)&amp;" (ours "&amp;DOLLAR(F144,2)&amp;")"&amp;IF(AND(G144&lt;&gt;"",ROUND(E144-IF(G144="",0,G144),2)&lt;&gt;0),"; sales price "&amp;DOLLAR(IF(G144="",0,G144),2)&amp;" (ours "&amp;DOLLAR(E144,2)&amp;")","")&amp;".")&amp;CHAR(10)&amp;IF('Our DOs'!G136&lt;&gt;"","We sent this Delivery Order"&amp;IF('Our DOs'!I136="Yes",", with the hospital's purchase order number,","")&amp;" on "&amp;'Our DOs'!G136&amp;IF('Our DOs'!H136&lt;&gt;""," by "&amp;LOWER('Our DOs'!H136),"")&amp;". The Delivery Order is available on request.","The Delivery Order is available on request."),"")</f>
      </c>
      <c r="N144" s="25">
        <f>IF(AND(OR(I144="Missing",I144="Differs"),K144&lt;&gt;"No"),1,0)</f>
      </c>
    </row>
    <row r="145" spans="1:14" x14ac:dyDescent="0.25">
      <c r="A145" s="19">
        <f>IF('Our DOs'!A137="","",'Our DOs'!A137)</f>
      </c>
      <c r="B145" s="19">
        <f>IF(A145="","",'Our DOs'!B137)</f>
      </c>
      <c r="C145" s="19">
        <f>IF(A145="","",'Our DOs'!C137)</f>
      </c>
      <c r="D145" s="19">
        <f>IF(A145="","",'Our DOs'!D137)</f>
      </c>
      <c r="E145" s="22">
        <f>IF(A145="","",'Our DOs'!E137)</f>
      </c>
      <c r="F145" s="22">
        <f>IF(A145="","",'Our DOs'!F137)</f>
      </c>
      <c r="G145" s="22">
        <f>IF(OR(A145="",B145=""),"",IFERROR(INDEX('Their statement'!$D$2:$D$201,MATCH(B145,'Their statement'!$A$2:$A$201,0)),""))</f>
      </c>
      <c r="H145" s="22">
        <f>IF(OR(A145="",B145=""),"",IFERROR(INDEX('Their statement'!$E$2:$E$201,MATCH(B145,'Their statement'!$A$2:$A$201,0)),""))</f>
      </c>
      <c r="I145" s="19">
        <f>IF(A145="","",IF(B145="","No PO yet",IF(ISNUMBER(MATCH(B145,'Their statement'!$A$2:$A$201,0)),IF(AND(ROUND(F145-IF(H145="",0,H145),2)=0,OR(G145="",ROUND(E145-IF(G145="",0,G145),2)=0)),"Matches","Differs"),"Missing")))</f>
      </c>
      <c r="J145" s="22">
        <f>IF(OR(I145="Missing",I145="Differs"),F145-IF(H145="",0,H145),"")</f>
      </c>
      <c r="K145" s="10"/>
      <c r="L145" s="23">
        <f>IF(N145=1,SUM($N$10:N145),"")</f>
      </c>
      <c r="M145" s="24">
        <f>IF(N145=1,"Customer PO "&amp;B145&amp;" · "&amp;C145&amp;" · case "&amp;D145&amp;CHAR(10)&amp;"Sales "&amp;DOLLAR(E145,2)&amp;" · commission "&amp;DOLLAR(F145,2)&amp;CHAR(10)&amp;IF(I145="Missing","Not on your "&amp;Setup!$B$5&amp;" commission statement.","Your statement shows commission "&amp;DOLLAR(IF(H145="",0,H145),2)&amp;" (ours "&amp;DOLLAR(F145,2)&amp;")"&amp;IF(AND(G145&lt;&gt;"",ROUND(E145-IF(G145="",0,G145),2)&lt;&gt;0),"; sales price "&amp;DOLLAR(IF(G145="",0,G145),2)&amp;" (ours "&amp;DOLLAR(E145,2)&amp;")","")&amp;".")&amp;CHAR(10)&amp;IF('Our DOs'!G137&lt;&gt;"","We sent this Delivery Order"&amp;IF('Our DOs'!I137="Yes",", with the hospital's purchase order number,","")&amp;" on "&amp;'Our DOs'!G137&amp;IF('Our DOs'!H137&lt;&gt;""," by "&amp;LOWER('Our DOs'!H137),"")&amp;". The Delivery Order is available on request.","The Delivery Order is available on request."),"")</f>
      </c>
      <c r="N145" s="25">
        <f>IF(AND(OR(I145="Missing",I145="Differs"),K145&lt;&gt;"No"),1,0)</f>
      </c>
    </row>
    <row r="146" spans="1:14" x14ac:dyDescent="0.25">
      <c r="A146" s="19">
        <f>IF('Our DOs'!A138="","",'Our DOs'!A138)</f>
      </c>
      <c r="B146" s="19">
        <f>IF(A146="","",'Our DOs'!B138)</f>
      </c>
      <c r="C146" s="19">
        <f>IF(A146="","",'Our DOs'!C138)</f>
      </c>
      <c r="D146" s="19">
        <f>IF(A146="","",'Our DOs'!D138)</f>
      </c>
      <c r="E146" s="22">
        <f>IF(A146="","",'Our DOs'!E138)</f>
      </c>
      <c r="F146" s="22">
        <f>IF(A146="","",'Our DOs'!F138)</f>
      </c>
      <c r="G146" s="22">
        <f>IF(OR(A146="",B146=""),"",IFERROR(INDEX('Their statement'!$D$2:$D$201,MATCH(B146,'Their statement'!$A$2:$A$201,0)),""))</f>
      </c>
      <c r="H146" s="22">
        <f>IF(OR(A146="",B146=""),"",IFERROR(INDEX('Their statement'!$E$2:$E$201,MATCH(B146,'Their statement'!$A$2:$A$201,0)),""))</f>
      </c>
      <c r="I146" s="19">
        <f>IF(A146="","",IF(B146="","No PO yet",IF(ISNUMBER(MATCH(B146,'Their statement'!$A$2:$A$201,0)),IF(AND(ROUND(F146-IF(H146="",0,H146),2)=0,OR(G146="",ROUND(E146-IF(G146="",0,G146),2)=0)),"Matches","Differs"),"Missing")))</f>
      </c>
      <c r="J146" s="22">
        <f>IF(OR(I146="Missing",I146="Differs"),F146-IF(H146="",0,H146),"")</f>
      </c>
      <c r="K146" s="10"/>
      <c r="L146" s="23">
        <f>IF(N146=1,SUM($N$10:N146),"")</f>
      </c>
      <c r="M146" s="24">
        <f>IF(N146=1,"Customer PO "&amp;B146&amp;" · "&amp;C146&amp;" · case "&amp;D146&amp;CHAR(10)&amp;"Sales "&amp;DOLLAR(E146,2)&amp;" · commission "&amp;DOLLAR(F146,2)&amp;CHAR(10)&amp;IF(I146="Missing","Not on your "&amp;Setup!$B$5&amp;" commission statement.","Your statement shows commission "&amp;DOLLAR(IF(H146="",0,H146),2)&amp;" (ours "&amp;DOLLAR(F146,2)&amp;")"&amp;IF(AND(G146&lt;&gt;"",ROUND(E146-IF(G146="",0,G146),2)&lt;&gt;0),"; sales price "&amp;DOLLAR(IF(G146="",0,G146),2)&amp;" (ours "&amp;DOLLAR(E146,2)&amp;")","")&amp;".")&amp;CHAR(10)&amp;IF('Our DOs'!G138&lt;&gt;"","We sent this Delivery Order"&amp;IF('Our DOs'!I138="Yes",", with the hospital's purchase order number,","")&amp;" on "&amp;'Our DOs'!G138&amp;IF('Our DOs'!H138&lt;&gt;""," by "&amp;LOWER('Our DOs'!H138),"")&amp;". The Delivery Order is available on request.","The Delivery Order is available on request."),"")</f>
      </c>
      <c r="N146" s="25">
        <f>IF(AND(OR(I146="Missing",I146="Differs"),K146&lt;&gt;"No"),1,0)</f>
      </c>
    </row>
    <row r="147" spans="1:14" x14ac:dyDescent="0.25">
      <c r="A147" s="19">
        <f>IF('Our DOs'!A139="","",'Our DOs'!A139)</f>
      </c>
      <c r="B147" s="19">
        <f>IF(A147="","",'Our DOs'!B139)</f>
      </c>
      <c r="C147" s="19">
        <f>IF(A147="","",'Our DOs'!C139)</f>
      </c>
      <c r="D147" s="19">
        <f>IF(A147="","",'Our DOs'!D139)</f>
      </c>
      <c r="E147" s="22">
        <f>IF(A147="","",'Our DOs'!E139)</f>
      </c>
      <c r="F147" s="22">
        <f>IF(A147="","",'Our DOs'!F139)</f>
      </c>
      <c r="G147" s="22">
        <f>IF(OR(A147="",B147=""),"",IFERROR(INDEX('Their statement'!$D$2:$D$201,MATCH(B147,'Their statement'!$A$2:$A$201,0)),""))</f>
      </c>
      <c r="H147" s="22">
        <f>IF(OR(A147="",B147=""),"",IFERROR(INDEX('Their statement'!$E$2:$E$201,MATCH(B147,'Their statement'!$A$2:$A$201,0)),""))</f>
      </c>
      <c r="I147" s="19">
        <f>IF(A147="","",IF(B147="","No PO yet",IF(ISNUMBER(MATCH(B147,'Their statement'!$A$2:$A$201,0)),IF(AND(ROUND(F147-IF(H147="",0,H147),2)=0,OR(G147="",ROUND(E147-IF(G147="",0,G147),2)=0)),"Matches","Differs"),"Missing")))</f>
      </c>
      <c r="J147" s="22">
        <f>IF(OR(I147="Missing",I147="Differs"),F147-IF(H147="",0,H147),"")</f>
      </c>
      <c r="K147" s="10"/>
      <c r="L147" s="23">
        <f>IF(N147=1,SUM($N$10:N147),"")</f>
      </c>
      <c r="M147" s="24">
        <f>IF(N147=1,"Customer PO "&amp;B147&amp;" · "&amp;C147&amp;" · case "&amp;D147&amp;CHAR(10)&amp;"Sales "&amp;DOLLAR(E147,2)&amp;" · commission "&amp;DOLLAR(F147,2)&amp;CHAR(10)&amp;IF(I147="Missing","Not on your "&amp;Setup!$B$5&amp;" commission statement.","Your statement shows commission "&amp;DOLLAR(IF(H147="",0,H147),2)&amp;" (ours "&amp;DOLLAR(F147,2)&amp;")"&amp;IF(AND(G147&lt;&gt;"",ROUND(E147-IF(G147="",0,G147),2)&lt;&gt;0),"; sales price "&amp;DOLLAR(IF(G147="",0,G147),2)&amp;" (ours "&amp;DOLLAR(E147,2)&amp;")","")&amp;".")&amp;CHAR(10)&amp;IF('Our DOs'!G139&lt;&gt;"","We sent this Delivery Order"&amp;IF('Our DOs'!I139="Yes",", with the hospital's purchase order number,","")&amp;" on "&amp;'Our DOs'!G139&amp;IF('Our DOs'!H139&lt;&gt;""," by "&amp;LOWER('Our DOs'!H139),"")&amp;". The Delivery Order is available on request.","The Delivery Order is available on request."),"")</f>
      </c>
      <c r="N147" s="25">
        <f>IF(AND(OR(I147="Missing",I147="Differs"),K147&lt;&gt;"No"),1,0)</f>
      </c>
    </row>
    <row r="148" spans="1:14" x14ac:dyDescent="0.25">
      <c r="A148" s="19">
        <f>IF('Our DOs'!A140="","",'Our DOs'!A140)</f>
      </c>
      <c r="B148" s="19">
        <f>IF(A148="","",'Our DOs'!B140)</f>
      </c>
      <c r="C148" s="19">
        <f>IF(A148="","",'Our DOs'!C140)</f>
      </c>
      <c r="D148" s="19">
        <f>IF(A148="","",'Our DOs'!D140)</f>
      </c>
      <c r="E148" s="22">
        <f>IF(A148="","",'Our DOs'!E140)</f>
      </c>
      <c r="F148" s="22">
        <f>IF(A148="","",'Our DOs'!F140)</f>
      </c>
      <c r="G148" s="22">
        <f>IF(OR(A148="",B148=""),"",IFERROR(INDEX('Their statement'!$D$2:$D$201,MATCH(B148,'Their statement'!$A$2:$A$201,0)),""))</f>
      </c>
      <c r="H148" s="22">
        <f>IF(OR(A148="",B148=""),"",IFERROR(INDEX('Their statement'!$E$2:$E$201,MATCH(B148,'Their statement'!$A$2:$A$201,0)),""))</f>
      </c>
      <c r="I148" s="19">
        <f>IF(A148="","",IF(B148="","No PO yet",IF(ISNUMBER(MATCH(B148,'Their statement'!$A$2:$A$201,0)),IF(AND(ROUND(F148-IF(H148="",0,H148),2)=0,OR(G148="",ROUND(E148-IF(G148="",0,G148),2)=0)),"Matches","Differs"),"Missing")))</f>
      </c>
      <c r="J148" s="22">
        <f>IF(OR(I148="Missing",I148="Differs"),F148-IF(H148="",0,H148),"")</f>
      </c>
      <c r="K148" s="10"/>
      <c r="L148" s="23">
        <f>IF(N148=1,SUM($N$10:N148),"")</f>
      </c>
      <c r="M148" s="24">
        <f>IF(N148=1,"Customer PO "&amp;B148&amp;" · "&amp;C148&amp;" · case "&amp;D148&amp;CHAR(10)&amp;"Sales "&amp;DOLLAR(E148,2)&amp;" · commission "&amp;DOLLAR(F148,2)&amp;CHAR(10)&amp;IF(I148="Missing","Not on your "&amp;Setup!$B$5&amp;" commission statement.","Your statement shows commission "&amp;DOLLAR(IF(H148="",0,H148),2)&amp;" (ours "&amp;DOLLAR(F148,2)&amp;")"&amp;IF(AND(G148&lt;&gt;"",ROUND(E148-IF(G148="",0,G148),2)&lt;&gt;0),"; sales price "&amp;DOLLAR(IF(G148="",0,G148),2)&amp;" (ours "&amp;DOLLAR(E148,2)&amp;")","")&amp;".")&amp;CHAR(10)&amp;IF('Our DOs'!G140&lt;&gt;"","We sent this Delivery Order"&amp;IF('Our DOs'!I140="Yes",", with the hospital's purchase order number,","")&amp;" on "&amp;'Our DOs'!G140&amp;IF('Our DOs'!H140&lt;&gt;""," by "&amp;LOWER('Our DOs'!H140),"")&amp;". The Delivery Order is available on request.","The Delivery Order is available on request."),"")</f>
      </c>
      <c r="N148" s="25">
        <f>IF(AND(OR(I148="Missing",I148="Differs"),K148&lt;&gt;"No"),1,0)</f>
      </c>
    </row>
    <row r="149" spans="1:14" x14ac:dyDescent="0.25">
      <c r="A149" s="19">
        <f>IF('Our DOs'!A141="","",'Our DOs'!A141)</f>
      </c>
      <c r="B149" s="19">
        <f>IF(A149="","",'Our DOs'!B141)</f>
      </c>
      <c r="C149" s="19">
        <f>IF(A149="","",'Our DOs'!C141)</f>
      </c>
      <c r="D149" s="19">
        <f>IF(A149="","",'Our DOs'!D141)</f>
      </c>
      <c r="E149" s="22">
        <f>IF(A149="","",'Our DOs'!E141)</f>
      </c>
      <c r="F149" s="22">
        <f>IF(A149="","",'Our DOs'!F141)</f>
      </c>
      <c r="G149" s="22">
        <f>IF(OR(A149="",B149=""),"",IFERROR(INDEX('Their statement'!$D$2:$D$201,MATCH(B149,'Their statement'!$A$2:$A$201,0)),""))</f>
      </c>
      <c r="H149" s="22">
        <f>IF(OR(A149="",B149=""),"",IFERROR(INDEX('Their statement'!$E$2:$E$201,MATCH(B149,'Their statement'!$A$2:$A$201,0)),""))</f>
      </c>
      <c r="I149" s="19">
        <f>IF(A149="","",IF(B149="","No PO yet",IF(ISNUMBER(MATCH(B149,'Their statement'!$A$2:$A$201,0)),IF(AND(ROUND(F149-IF(H149="",0,H149),2)=0,OR(G149="",ROUND(E149-IF(G149="",0,G149),2)=0)),"Matches","Differs"),"Missing")))</f>
      </c>
      <c r="J149" s="22">
        <f>IF(OR(I149="Missing",I149="Differs"),F149-IF(H149="",0,H149),"")</f>
      </c>
      <c r="K149" s="10"/>
      <c r="L149" s="23">
        <f>IF(N149=1,SUM($N$10:N149),"")</f>
      </c>
      <c r="M149" s="24">
        <f>IF(N149=1,"Customer PO "&amp;B149&amp;" · "&amp;C149&amp;" · case "&amp;D149&amp;CHAR(10)&amp;"Sales "&amp;DOLLAR(E149,2)&amp;" · commission "&amp;DOLLAR(F149,2)&amp;CHAR(10)&amp;IF(I149="Missing","Not on your "&amp;Setup!$B$5&amp;" commission statement.","Your statement shows commission "&amp;DOLLAR(IF(H149="",0,H149),2)&amp;" (ours "&amp;DOLLAR(F149,2)&amp;")"&amp;IF(AND(G149&lt;&gt;"",ROUND(E149-IF(G149="",0,G149),2)&lt;&gt;0),"; sales price "&amp;DOLLAR(IF(G149="",0,G149),2)&amp;" (ours "&amp;DOLLAR(E149,2)&amp;")","")&amp;".")&amp;CHAR(10)&amp;IF('Our DOs'!G141&lt;&gt;"","We sent this Delivery Order"&amp;IF('Our DOs'!I141="Yes",", with the hospital's purchase order number,","")&amp;" on "&amp;'Our DOs'!G141&amp;IF('Our DOs'!H141&lt;&gt;""," by "&amp;LOWER('Our DOs'!H141),"")&amp;". The Delivery Order is available on request.","The Delivery Order is available on request."),"")</f>
      </c>
      <c r="N149" s="25">
        <f>IF(AND(OR(I149="Missing",I149="Differs"),K149&lt;&gt;"No"),1,0)</f>
      </c>
    </row>
    <row r="150" spans="1:14" x14ac:dyDescent="0.25">
      <c r="A150" s="19">
        <f>IF('Our DOs'!A142="","",'Our DOs'!A142)</f>
      </c>
      <c r="B150" s="19">
        <f>IF(A150="","",'Our DOs'!B142)</f>
      </c>
      <c r="C150" s="19">
        <f>IF(A150="","",'Our DOs'!C142)</f>
      </c>
      <c r="D150" s="19">
        <f>IF(A150="","",'Our DOs'!D142)</f>
      </c>
      <c r="E150" s="22">
        <f>IF(A150="","",'Our DOs'!E142)</f>
      </c>
      <c r="F150" s="22">
        <f>IF(A150="","",'Our DOs'!F142)</f>
      </c>
      <c r="G150" s="22">
        <f>IF(OR(A150="",B150=""),"",IFERROR(INDEX('Their statement'!$D$2:$D$201,MATCH(B150,'Their statement'!$A$2:$A$201,0)),""))</f>
      </c>
      <c r="H150" s="22">
        <f>IF(OR(A150="",B150=""),"",IFERROR(INDEX('Their statement'!$E$2:$E$201,MATCH(B150,'Their statement'!$A$2:$A$201,0)),""))</f>
      </c>
      <c r="I150" s="19">
        <f>IF(A150="","",IF(B150="","No PO yet",IF(ISNUMBER(MATCH(B150,'Their statement'!$A$2:$A$201,0)),IF(AND(ROUND(F150-IF(H150="",0,H150),2)=0,OR(G150="",ROUND(E150-IF(G150="",0,G150),2)=0)),"Matches","Differs"),"Missing")))</f>
      </c>
      <c r="J150" s="22">
        <f>IF(OR(I150="Missing",I150="Differs"),F150-IF(H150="",0,H150),"")</f>
      </c>
      <c r="K150" s="10"/>
      <c r="L150" s="23">
        <f>IF(N150=1,SUM($N$10:N150),"")</f>
      </c>
      <c r="M150" s="24">
        <f>IF(N150=1,"Customer PO "&amp;B150&amp;" · "&amp;C150&amp;" · case "&amp;D150&amp;CHAR(10)&amp;"Sales "&amp;DOLLAR(E150,2)&amp;" · commission "&amp;DOLLAR(F150,2)&amp;CHAR(10)&amp;IF(I150="Missing","Not on your "&amp;Setup!$B$5&amp;" commission statement.","Your statement shows commission "&amp;DOLLAR(IF(H150="",0,H150),2)&amp;" (ours "&amp;DOLLAR(F150,2)&amp;")"&amp;IF(AND(G150&lt;&gt;"",ROUND(E150-IF(G150="",0,G150),2)&lt;&gt;0),"; sales price "&amp;DOLLAR(IF(G150="",0,G150),2)&amp;" (ours "&amp;DOLLAR(E150,2)&amp;")","")&amp;".")&amp;CHAR(10)&amp;IF('Our DOs'!G142&lt;&gt;"","We sent this Delivery Order"&amp;IF('Our DOs'!I142="Yes",", with the hospital's purchase order number,","")&amp;" on "&amp;'Our DOs'!G142&amp;IF('Our DOs'!H142&lt;&gt;""," by "&amp;LOWER('Our DOs'!H142),"")&amp;". The Delivery Order is available on request.","The Delivery Order is available on request."),"")</f>
      </c>
      <c r="N150" s="25">
        <f>IF(AND(OR(I150="Missing",I150="Differs"),K150&lt;&gt;"No"),1,0)</f>
      </c>
    </row>
    <row r="151" spans="1:14" x14ac:dyDescent="0.25">
      <c r="A151" s="19">
        <f>IF('Our DOs'!A143="","",'Our DOs'!A143)</f>
      </c>
      <c r="B151" s="19">
        <f>IF(A151="","",'Our DOs'!B143)</f>
      </c>
      <c r="C151" s="19">
        <f>IF(A151="","",'Our DOs'!C143)</f>
      </c>
      <c r="D151" s="19">
        <f>IF(A151="","",'Our DOs'!D143)</f>
      </c>
      <c r="E151" s="22">
        <f>IF(A151="","",'Our DOs'!E143)</f>
      </c>
      <c r="F151" s="22">
        <f>IF(A151="","",'Our DOs'!F143)</f>
      </c>
      <c r="G151" s="22">
        <f>IF(OR(A151="",B151=""),"",IFERROR(INDEX('Their statement'!$D$2:$D$201,MATCH(B151,'Their statement'!$A$2:$A$201,0)),""))</f>
      </c>
      <c r="H151" s="22">
        <f>IF(OR(A151="",B151=""),"",IFERROR(INDEX('Their statement'!$E$2:$E$201,MATCH(B151,'Their statement'!$A$2:$A$201,0)),""))</f>
      </c>
      <c r="I151" s="19">
        <f>IF(A151="","",IF(B151="","No PO yet",IF(ISNUMBER(MATCH(B151,'Their statement'!$A$2:$A$201,0)),IF(AND(ROUND(F151-IF(H151="",0,H151),2)=0,OR(G151="",ROUND(E151-IF(G151="",0,G151),2)=0)),"Matches","Differs"),"Missing")))</f>
      </c>
      <c r="J151" s="22">
        <f>IF(OR(I151="Missing",I151="Differs"),F151-IF(H151="",0,H151),"")</f>
      </c>
      <c r="K151" s="10"/>
      <c r="L151" s="23">
        <f>IF(N151=1,SUM($N$10:N151),"")</f>
      </c>
      <c r="M151" s="24">
        <f>IF(N151=1,"Customer PO "&amp;B151&amp;" · "&amp;C151&amp;" · case "&amp;D151&amp;CHAR(10)&amp;"Sales "&amp;DOLLAR(E151,2)&amp;" · commission "&amp;DOLLAR(F151,2)&amp;CHAR(10)&amp;IF(I151="Missing","Not on your "&amp;Setup!$B$5&amp;" commission statement.","Your statement shows commission "&amp;DOLLAR(IF(H151="",0,H151),2)&amp;" (ours "&amp;DOLLAR(F151,2)&amp;")"&amp;IF(AND(G151&lt;&gt;"",ROUND(E151-IF(G151="",0,G151),2)&lt;&gt;0),"; sales price "&amp;DOLLAR(IF(G151="",0,G151),2)&amp;" (ours "&amp;DOLLAR(E151,2)&amp;")","")&amp;".")&amp;CHAR(10)&amp;IF('Our DOs'!G143&lt;&gt;"","We sent this Delivery Order"&amp;IF('Our DOs'!I143="Yes",", with the hospital's purchase order number,","")&amp;" on "&amp;'Our DOs'!G143&amp;IF('Our DOs'!H143&lt;&gt;""," by "&amp;LOWER('Our DOs'!H143),"")&amp;". The Delivery Order is available on request.","The Delivery Order is available on request."),"")</f>
      </c>
      <c r="N151" s="25">
        <f>IF(AND(OR(I151="Missing",I151="Differs"),K151&lt;&gt;"No"),1,0)</f>
      </c>
    </row>
    <row r="152" spans="1:14" x14ac:dyDescent="0.25">
      <c r="A152" s="19">
        <f>IF('Our DOs'!A144="","",'Our DOs'!A144)</f>
      </c>
      <c r="B152" s="19">
        <f>IF(A152="","",'Our DOs'!B144)</f>
      </c>
      <c r="C152" s="19">
        <f>IF(A152="","",'Our DOs'!C144)</f>
      </c>
      <c r="D152" s="19">
        <f>IF(A152="","",'Our DOs'!D144)</f>
      </c>
      <c r="E152" s="22">
        <f>IF(A152="","",'Our DOs'!E144)</f>
      </c>
      <c r="F152" s="22">
        <f>IF(A152="","",'Our DOs'!F144)</f>
      </c>
      <c r="G152" s="22">
        <f>IF(OR(A152="",B152=""),"",IFERROR(INDEX('Their statement'!$D$2:$D$201,MATCH(B152,'Their statement'!$A$2:$A$201,0)),""))</f>
      </c>
      <c r="H152" s="22">
        <f>IF(OR(A152="",B152=""),"",IFERROR(INDEX('Their statement'!$E$2:$E$201,MATCH(B152,'Their statement'!$A$2:$A$201,0)),""))</f>
      </c>
      <c r="I152" s="19">
        <f>IF(A152="","",IF(B152="","No PO yet",IF(ISNUMBER(MATCH(B152,'Their statement'!$A$2:$A$201,0)),IF(AND(ROUND(F152-IF(H152="",0,H152),2)=0,OR(G152="",ROUND(E152-IF(G152="",0,G152),2)=0)),"Matches","Differs"),"Missing")))</f>
      </c>
      <c r="J152" s="22">
        <f>IF(OR(I152="Missing",I152="Differs"),F152-IF(H152="",0,H152),"")</f>
      </c>
      <c r="K152" s="10"/>
      <c r="L152" s="23">
        <f>IF(N152=1,SUM($N$10:N152),"")</f>
      </c>
      <c r="M152" s="24">
        <f>IF(N152=1,"Customer PO "&amp;B152&amp;" · "&amp;C152&amp;" · case "&amp;D152&amp;CHAR(10)&amp;"Sales "&amp;DOLLAR(E152,2)&amp;" · commission "&amp;DOLLAR(F152,2)&amp;CHAR(10)&amp;IF(I152="Missing","Not on your "&amp;Setup!$B$5&amp;" commission statement.","Your statement shows commission "&amp;DOLLAR(IF(H152="",0,H152),2)&amp;" (ours "&amp;DOLLAR(F152,2)&amp;")"&amp;IF(AND(G152&lt;&gt;"",ROUND(E152-IF(G152="",0,G152),2)&lt;&gt;0),"; sales price "&amp;DOLLAR(IF(G152="",0,G152),2)&amp;" (ours "&amp;DOLLAR(E152,2)&amp;")","")&amp;".")&amp;CHAR(10)&amp;IF('Our DOs'!G144&lt;&gt;"","We sent this Delivery Order"&amp;IF('Our DOs'!I144="Yes",", with the hospital's purchase order number,","")&amp;" on "&amp;'Our DOs'!G144&amp;IF('Our DOs'!H144&lt;&gt;""," by "&amp;LOWER('Our DOs'!H144),"")&amp;". The Delivery Order is available on request.","The Delivery Order is available on request."),"")</f>
      </c>
      <c r="N152" s="25">
        <f>IF(AND(OR(I152="Missing",I152="Differs"),K152&lt;&gt;"No"),1,0)</f>
      </c>
    </row>
    <row r="153" spans="1:14" x14ac:dyDescent="0.25">
      <c r="A153" s="19">
        <f>IF('Our DOs'!A145="","",'Our DOs'!A145)</f>
      </c>
      <c r="B153" s="19">
        <f>IF(A153="","",'Our DOs'!B145)</f>
      </c>
      <c r="C153" s="19">
        <f>IF(A153="","",'Our DOs'!C145)</f>
      </c>
      <c r="D153" s="19">
        <f>IF(A153="","",'Our DOs'!D145)</f>
      </c>
      <c r="E153" s="22">
        <f>IF(A153="","",'Our DOs'!E145)</f>
      </c>
      <c r="F153" s="22">
        <f>IF(A153="","",'Our DOs'!F145)</f>
      </c>
      <c r="G153" s="22">
        <f>IF(OR(A153="",B153=""),"",IFERROR(INDEX('Their statement'!$D$2:$D$201,MATCH(B153,'Their statement'!$A$2:$A$201,0)),""))</f>
      </c>
      <c r="H153" s="22">
        <f>IF(OR(A153="",B153=""),"",IFERROR(INDEX('Their statement'!$E$2:$E$201,MATCH(B153,'Their statement'!$A$2:$A$201,0)),""))</f>
      </c>
      <c r="I153" s="19">
        <f>IF(A153="","",IF(B153="","No PO yet",IF(ISNUMBER(MATCH(B153,'Their statement'!$A$2:$A$201,0)),IF(AND(ROUND(F153-IF(H153="",0,H153),2)=0,OR(G153="",ROUND(E153-IF(G153="",0,G153),2)=0)),"Matches","Differs"),"Missing")))</f>
      </c>
      <c r="J153" s="22">
        <f>IF(OR(I153="Missing",I153="Differs"),F153-IF(H153="",0,H153),"")</f>
      </c>
      <c r="K153" s="10"/>
      <c r="L153" s="23">
        <f>IF(N153=1,SUM($N$10:N153),"")</f>
      </c>
      <c r="M153" s="24">
        <f>IF(N153=1,"Customer PO "&amp;B153&amp;" · "&amp;C153&amp;" · case "&amp;D153&amp;CHAR(10)&amp;"Sales "&amp;DOLLAR(E153,2)&amp;" · commission "&amp;DOLLAR(F153,2)&amp;CHAR(10)&amp;IF(I153="Missing","Not on your "&amp;Setup!$B$5&amp;" commission statement.","Your statement shows commission "&amp;DOLLAR(IF(H153="",0,H153),2)&amp;" (ours "&amp;DOLLAR(F153,2)&amp;")"&amp;IF(AND(G153&lt;&gt;"",ROUND(E153-IF(G153="",0,G153),2)&lt;&gt;0),"; sales price "&amp;DOLLAR(IF(G153="",0,G153),2)&amp;" (ours "&amp;DOLLAR(E153,2)&amp;")","")&amp;".")&amp;CHAR(10)&amp;IF('Our DOs'!G145&lt;&gt;"","We sent this Delivery Order"&amp;IF('Our DOs'!I145="Yes",", with the hospital's purchase order number,","")&amp;" on "&amp;'Our DOs'!G145&amp;IF('Our DOs'!H145&lt;&gt;""," by "&amp;LOWER('Our DOs'!H145),"")&amp;". The Delivery Order is available on request.","The Delivery Order is available on request."),"")</f>
      </c>
      <c r="N153" s="25">
        <f>IF(AND(OR(I153="Missing",I153="Differs"),K153&lt;&gt;"No"),1,0)</f>
      </c>
    </row>
    <row r="154" spans="1:14" x14ac:dyDescent="0.25">
      <c r="A154" s="19">
        <f>IF('Our DOs'!A146="","",'Our DOs'!A146)</f>
      </c>
      <c r="B154" s="19">
        <f>IF(A154="","",'Our DOs'!B146)</f>
      </c>
      <c r="C154" s="19">
        <f>IF(A154="","",'Our DOs'!C146)</f>
      </c>
      <c r="D154" s="19">
        <f>IF(A154="","",'Our DOs'!D146)</f>
      </c>
      <c r="E154" s="22">
        <f>IF(A154="","",'Our DOs'!E146)</f>
      </c>
      <c r="F154" s="22">
        <f>IF(A154="","",'Our DOs'!F146)</f>
      </c>
      <c r="G154" s="22">
        <f>IF(OR(A154="",B154=""),"",IFERROR(INDEX('Their statement'!$D$2:$D$201,MATCH(B154,'Their statement'!$A$2:$A$201,0)),""))</f>
      </c>
      <c r="H154" s="22">
        <f>IF(OR(A154="",B154=""),"",IFERROR(INDEX('Their statement'!$E$2:$E$201,MATCH(B154,'Their statement'!$A$2:$A$201,0)),""))</f>
      </c>
      <c r="I154" s="19">
        <f>IF(A154="","",IF(B154="","No PO yet",IF(ISNUMBER(MATCH(B154,'Their statement'!$A$2:$A$201,0)),IF(AND(ROUND(F154-IF(H154="",0,H154),2)=0,OR(G154="",ROUND(E154-IF(G154="",0,G154),2)=0)),"Matches","Differs"),"Missing")))</f>
      </c>
      <c r="J154" s="22">
        <f>IF(OR(I154="Missing",I154="Differs"),F154-IF(H154="",0,H154),"")</f>
      </c>
      <c r="K154" s="10"/>
      <c r="L154" s="23">
        <f>IF(N154=1,SUM($N$10:N154),"")</f>
      </c>
      <c r="M154" s="24">
        <f>IF(N154=1,"Customer PO "&amp;B154&amp;" · "&amp;C154&amp;" · case "&amp;D154&amp;CHAR(10)&amp;"Sales "&amp;DOLLAR(E154,2)&amp;" · commission "&amp;DOLLAR(F154,2)&amp;CHAR(10)&amp;IF(I154="Missing","Not on your "&amp;Setup!$B$5&amp;" commission statement.","Your statement shows commission "&amp;DOLLAR(IF(H154="",0,H154),2)&amp;" (ours "&amp;DOLLAR(F154,2)&amp;")"&amp;IF(AND(G154&lt;&gt;"",ROUND(E154-IF(G154="",0,G154),2)&lt;&gt;0),"; sales price "&amp;DOLLAR(IF(G154="",0,G154),2)&amp;" (ours "&amp;DOLLAR(E154,2)&amp;")","")&amp;".")&amp;CHAR(10)&amp;IF('Our DOs'!G146&lt;&gt;"","We sent this Delivery Order"&amp;IF('Our DOs'!I146="Yes",", with the hospital's purchase order number,","")&amp;" on "&amp;'Our DOs'!G146&amp;IF('Our DOs'!H146&lt;&gt;""," by "&amp;LOWER('Our DOs'!H146),"")&amp;". The Delivery Order is available on request.","The Delivery Order is available on request."),"")</f>
      </c>
      <c r="N154" s="25">
        <f>IF(AND(OR(I154="Missing",I154="Differs"),K154&lt;&gt;"No"),1,0)</f>
      </c>
    </row>
    <row r="155" spans="1:14" x14ac:dyDescent="0.25">
      <c r="A155" s="19">
        <f>IF('Our DOs'!A147="","",'Our DOs'!A147)</f>
      </c>
      <c r="B155" s="19">
        <f>IF(A155="","",'Our DOs'!B147)</f>
      </c>
      <c r="C155" s="19">
        <f>IF(A155="","",'Our DOs'!C147)</f>
      </c>
      <c r="D155" s="19">
        <f>IF(A155="","",'Our DOs'!D147)</f>
      </c>
      <c r="E155" s="22">
        <f>IF(A155="","",'Our DOs'!E147)</f>
      </c>
      <c r="F155" s="22">
        <f>IF(A155="","",'Our DOs'!F147)</f>
      </c>
      <c r="G155" s="22">
        <f>IF(OR(A155="",B155=""),"",IFERROR(INDEX('Their statement'!$D$2:$D$201,MATCH(B155,'Their statement'!$A$2:$A$201,0)),""))</f>
      </c>
      <c r="H155" s="22">
        <f>IF(OR(A155="",B155=""),"",IFERROR(INDEX('Their statement'!$E$2:$E$201,MATCH(B155,'Their statement'!$A$2:$A$201,0)),""))</f>
      </c>
      <c r="I155" s="19">
        <f>IF(A155="","",IF(B155="","No PO yet",IF(ISNUMBER(MATCH(B155,'Their statement'!$A$2:$A$201,0)),IF(AND(ROUND(F155-IF(H155="",0,H155),2)=0,OR(G155="",ROUND(E155-IF(G155="",0,G155),2)=0)),"Matches","Differs"),"Missing")))</f>
      </c>
      <c r="J155" s="22">
        <f>IF(OR(I155="Missing",I155="Differs"),F155-IF(H155="",0,H155),"")</f>
      </c>
      <c r="K155" s="10"/>
      <c r="L155" s="23">
        <f>IF(N155=1,SUM($N$10:N155),"")</f>
      </c>
      <c r="M155" s="24">
        <f>IF(N155=1,"Customer PO "&amp;B155&amp;" · "&amp;C155&amp;" · case "&amp;D155&amp;CHAR(10)&amp;"Sales "&amp;DOLLAR(E155,2)&amp;" · commission "&amp;DOLLAR(F155,2)&amp;CHAR(10)&amp;IF(I155="Missing","Not on your "&amp;Setup!$B$5&amp;" commission statement.","Your statement shows commission "&amp;DOLLAR(IF(H155="",0,H155),2)&amp;" (ours "&amp;DOLLAR(F155,2)&amp;")"&amp;IF(AND(G155&lt;&gt;"",ROUND(E155-IF(G155="",0,G155),2)&lt;&gt;0),"; sales price "&amp;DOLLAR(IF(G155="",0,G155),2)&amp;" (ours "&amp;DOLLAR(E155,2)&amp;")","")&amp;".")&amp;CHAR(10)&amp;IF('Our DOs'!G147&lt;&gt;"","We sent this Delivery Order"&amp;IF('Our DOs'!I147="Yes",", with the hospital's purchase order number,","")&amp;" on "&amp;'Our DOs'!G147&amp;IF('Our DOs'!H147&lt;&gt;""," by "&amp;LOWER('Our DOs'!H147),"")&amp;". The Delivery Order is available on request.","The Delivery Order is available on request."),"")</f>
      </c>
      <c r="N155" s="25">
        <f>IF(AND(OR(I155="Missing",I155="Differs"),K155&lt;&gt;"No"),1,0)</f>
      </c>
    </row>
    <row r="156" spans="1:14" x14ac:dyDescent="0.25">
      <c r="A156" s="19">
        <f>IF('Our DOs'!A148="","",'Our DOs'!A148)</f>
      </c>
      <c r="B156" s="19">
        <f>IF(A156="","",'Our DOs'!B148)</f>
      </c>
      <c r="C156" s="19">
        <f>IF(A156="","",'Our DOs'!C148)</f>
      </c>
      <c r="D156" s="19">
        <f>IF(A156="","",'Our DOs'!D148)</f>
      </c>
      <c r="E156" s="22">
        <f>IF(A156="","",'Our DOs'!E148)</f>
      </c>
      <c r="F156" s="22">
        <f>IF(A156="","",'Our DOs'!F148)</f>
      </c>
      <c r="G156" s="22">
        <f>IF(OR(A156="",B156=""),"",IFERROR(INDEX('Their statement'!$D$2:$D$201,MATCH(B156,'Their statement'!$A$2:$A$201,0)),""))</f>
      </c>
      <c r="H156" s="22">
        <f>IF(OR(A156="",B156=""),"",IFERROR(INDEX('Their statement'!$E$2:$E$201,MATCH(B156,'Their statement'!$A$2:$A$201,0)),""))</f>
      </c>
      <c r="I156" s="19">
        <f>IF(A156="","",IF(B156="","No PO yet",IF(ISNUMBER(MATCH(B156,'Their statement'!$A$2:$A$201,0)),IF(AND(ROUND(F156-IF(H156="",0,H156),2)=0,OR(G156="",ROUND(E156-IF(G156="",0,G156),2)=0)),"Matches","Differs"),"Missing")))</f>
      </c>
      <c r="J156" s="22">
        <f>IF(OR(I156="Missing",I156="Differs"),F156-IF(H156="",0,H156),"")</f>
      </c>
      <c r="K156" s="10"/>
      <c r="L156" s="23">
        <f>IF(N156=1,SUM($N$10:N156),"")</f>
      </c>
      <c r="M156" s="24">
        <f>IF(N156=1,"Customer PO "&amp;B156&amp;" · "&amp;C156&amp;" · case "&amp;D156&amp;CHAR(10)&amp;"Sales "&amp;DOLLAR(E156,2)&amp;" · commission "&amp;DOLLAR(F156,2)&amp;CHAR(10)&amp;IF(I156="Missing","Not on your "&amp;Setup!$B$5&amp;" commission statement.","Your statement shows commission "&amp;DOLLAR(IF(H156="",0,H156),2)&amp;" (ours "&amp;DOLLAR(F156,2)&amp;")"&amp;IF(AND(G156&lt;&gt;"",ROUND(E156-IF(G156="",0,G156),2)&lt;&gt;0),"; sales price "&amp;DOLLAR(IF(G156="",0,G156),2)&amp;" (ours "&amp;DOLLAR(E156,2)&amp;")","")&amp;".")&amp;CHAR(10)&amp;IF('Our DOs'!G148&lt;&gt;"","We sent this Delivery Order"&amp;IF('Our DOs'!I148="Yes",", with the hospital's purchase order number,","")&amp;" on "&amp;'Our DOs'!G148&amp;IF('Our DOs'!H148&lt;&gt;""," by "&amp;LOWER('Our DOs'!H148),"")&amp;". The Delivery Order is available on request.","The Delivery Order is available on request."),"")</f>
      </c>
      <c r="N156" s="25">
        <f>IF(AND(OR(I156="Missing",I156="Differs"),K156&lt;&gt;"No"),1,0)</f>
      </c>
    </row>
    <row r="157" spans="1:14" x14ac:dyDescent="0.25">
      <c r="A157" s="19">
        <f>IF('Our DOs'!A149="","",'Our DOs'!A149)</f>
      </c>
      <c r="B157" s="19">
        <f>IF(A157="","",'Our DOs'!B149)</f>
      </c>
      <c r="C157" s="19">
        <f>IF(A157="","",'Our DOs'!C149)</f>
      </c>
      <c r="D157" s="19">
        <f>IF(A157="","",'Our DOs'!D149)</f>
      </c>
      <c r="E157" s="22">
        <f>IF(A157="","",'Our DOs'!E149)</f>
      </c>
      <c r="F157" s="22">
        <f>IF(A157="","",'Our DOs'!F149)</f>
      </c>
      <c r="G157" s="22">
        <f>IF(OR(A157="",B157=""),"",IFERROR(INDEX('Their statement'!$D$2:$D$201,MATCH(B157,'Their statement'!$A$2:$A$201,0)),""))</f>
      </c>
      <c r="H157" s="22">
        <f>IF(OR(A157="",B157=""),"",IFERROR(INDEX('Their statement'!$E$2:$E$201,MATCH(B157,'Their statement'!$A$2:$A$201,0)),""))</f>
      </c>
      <c r="I157" s="19">
        <f>IF(A157="","",IF(B157="","No PO yet",IF(ISNUMBER(MATCH(B157,'Their statement'!$A$2:$A$201,0)),IF(AND(ROUND(F157-IF(H157="",0,H157),2)=0,OR(G157="",ROUND(E157-IF(G157="",0,G157),2)=0)),"Matches","Differs"),"Missing")))</f>
      </c>
      <c r="J157" s="22">
        <f>IF(OR(I157="Missing",I157="Differs"),F157-IF(H157="",0,H157),"")</f>
      </c>
      <c r="K157" s="10"/>
      <c r="L157" s="23">
        <f>IF(N157=1,SUM($N$10:N157),"")</f>
      </c>
      <c r="M157" s="24">
        <f>IF(N157=1,"Customer PO "&amp;B157&amp;" · "&amp;C157&amp;" · case "&amp;D157&amp;CHAR(10)&amp;"Sales "&amp;DOLLAR(E157,2)&amp;" · commission "&amp;DOLLAR(F157,2)&amp;CHAR(10)&amp;IF(I157="Missing","Not on your "&amp;Setup!$B$5&amp;" commission statement.","Your statement shows commission "&amp;DOLLAR(IF(H157="",0,H157),2)&amp;" (ours "&amp;DOLLAR(F157,2)&amp;")"&amp;IF(AND(G157&lt;&gt;"",ROUND(E157-IF(G157="",0,G157),2)&lt;&gt;0),"; sales price "&amp;DOLLAR(IF(G157="",0,G157),2)&amp;" (ours "&amp;DOLLAR(E157,2)&amp;")","")&amp;".")&amp;CHAR(10)&amp;IF('Our DOs'!G149&lt;&gt;"","We sent this Delivery Order"&amp;IF('Our DOs'!I149="Yes",", with the hospital's purchase order number,","")&amp;" on "&amp;'Our DOs'!G149&amp;IF('Our DOs'!H149&lt;&gt;""," by "&amp;LOWER('Our DOs'!H149),"")&amp;". The Delivery Order is available on request.","The Delivery Order is available on request."),"")</f>
      </c>
      <c r="N157" s="25">
        <f>IF(AND(OR(I157="Missing",I157="Differs"),K157&lt;&gt;"No"),1,0)</f>
      </c>
    </row>
    <row r="158" spans="1:14" x14ac:dyDescent="0.25">
      <c r="A158" s="19">
        <f>IF('Our DOs'!A150="","",'Our DOs'!A150)</f>
      </c>
      <c r="B158" s="19">
        <f>IF(A158="","",'Our DOs'!B150)</f>
      </c>
      <c r="C158" s="19">
        <f>IF(A158="","",'Our DOs'!C150)</f>
      </c>
      <c r="D158" s="19">
        <f>IF(A158="","",'Our DOs'!D150)</f>
      </c>
      <c r="E158" s="22">
        <f>IF(A158="","",'Our DOs'!E150)</f>
      </c>
      <c r="F158" s="22">
        <f>IF(A158="","",'Our DOs'!F150)</f>
      </c>
      <c r="G158" s="22">
        <f>IF(OR(A158="",B158=""),"",IFERROR(INDEX('Their statement'!$D$2:$D$201,MATCH(B158,'Their statement'!$A$2:$A$201,0)),""))</f>
      </c>
      <c r="H158" s="22">
        <f>IF(OR(A158="",B158=""),"",IFERROR(INDEX('Their statement'!$E$2:$E$201,MATCH(B158,'Their statement'!$A$2:$A$201,0)),""))</f>
      </c>
      <c r="I158" s="19">
        <f>IF(A158="","",IF(B158="","No PO yet",IF(ISNUMBER(MATCH(B158,'Their statement'!$A$2:$A$201,0)),IF(AND(ROUND(F158-IF(H158="",0,H158),2)=0,OR(G158="",ROUND(E158-IF(G158="",0,G158),2)=0)),"Matches","Differs"),"Missing")))</f>
      </c>
      <c r="J158" s="22">
        <f>IF(OR(I158="Missing",I158="Differs"),F158-IF(H158="",0,H158),"")</f>
      </c>
      <c r="K158" s="10"/>
      <c r="L158" s="23">
        <f>IF(N158=1,SUM($N$10:N158),"")</f>
      </c>
      <c r="M158" s="24">
        <f>IF(N158=1,"Customer PO "&amp;B158&amp;" · "&amp;C158&amp;" · case "&amp;D158&amp;CHAR(10)&amp;"Sales "&amp;DOLLAR(E158,2)&amp;" · commission "&amp;DOLLAR(F158,2)&amp;CHAR(10)&amp;IF(I158="Missing","Not on your "&amp;Setup!$B$5&amp;" commission statement.","Your statement shows commission "&amp;DOLLAR(IF(H158="",0,H158),2)&amp;" (ours "&amp;DOLLAR(F158,2)&amp;")"&amp;IF(AND(G158&lt;&gt;"",ROUND(E158-IF(G158="",0,G158),2)&lt;&gt;0),"; sales price "&amp;DOLLAR(IF(G158="",0,G158),2)&amp;" (ours "&amp;DOLLAR(E158,2)&amp;")","")&amp;".")&amp;CHAR(10)&amp;IF('Our DOs'!G150&lt;&gt;"","We sent this Delivery Order"&amp;IF('Our DOs'!I150="Yes",", with the hospital's purchase order number,","")&amp;" on "&amp;'Our DOs'!G150&amp;IF('Our DOs'!H150&lt;&gt;""," by "&amp;LOWER('Our DOs'!H150),"")&amp;". The Delivery Order is available on request.","The Delivery Order is available on request."),"")</f>
      </c>
      <c r="N158" s="25">
        <f>IF(AND(OR(I158="Missing",I158="Differs"),K158&lt;&gt;"No"),1,0)</f>
      </c>
    </row>
    <row r="159" spans="1:14" x14ac:dyDescent="0.25">
      <c r="A159" s="19">
        <f>IF('Our DOs'!A151="","",'Our DOs'!A151)</f>
      </c>
      <c r="B159" s="19">
        <f>IF(A159="","",'Our DOs'!B151)</f>
      </c>
      <c r="C159" s="19">
        <f>IF(A159="","",'Our DOs'!C151)</f>
      </c>
      <c r="D159" s="19">
        <f>IF(A159="","",'Our DOs'!D151)</f>
      </c>
      <c r="E159" s="22">
        <f>IF(A159="","",'Our DOs'!E151)</f>
      </c>
      <c r="F159" s="22">
        <f>IF(A159="","",'Our DOs'!F151)</f>
      </c>
      <c r="G159" s="22">
        <f>IF(OR(A159="",B159=""),"",IFERROR(INDEX('Their statement'!$D$2:$D$201,MATCH(B159,'Their statement'!$A$2:$A$201,0)),""))</f>
      </c>
      <c r="H159" s="22">
        <f>IF(OR(A159="",B159=""),"",IFERROR(INDEX('Their statement'!$E$2:$E$201,MATCH(B159,'Their statement'!$A$2:$A$201,0)),""))</f>
      </c>
      <c r="I159" s="19">
        <f>IF(A159="","",IF(B159="","No PO yet",IF(ISNUMBER(MATCH(B159,'Their statement'!$A$2:$A$201,0)),IF(AND(ROUND(F159-IF(H159="",0,H159),2)=0,OR(G159="",ROUND(E159-IF(G159="",0,G159),2)=0)),"Matches","Differs"),"Missing")))</f>
      </c>
      <c r="J159" s="22">
        <f>IF(OR(I159="Missing",I159="Differs"),F159-IF(H159="",0,H159),"")</f>
      </c>
      <c r="K159" s="10"/>
      <c r="L159" s="23">
        <f>IF(N159=1,SUM($N$10:N159),"")</f>
      </c>
      <c r="M159" s="24">
        <f>IF(N159=1,"Customer PO "&amp;B159&amp;" · "&amp;C159&amp;" · case "&amp;D159&amp;CHAR(10)&amp;"Sales "&amp;DOLLAR(E159,2)&amp;" · commission "&amp;DOLLAR(F159,2)&amp;CHAR(10)&amp;IF(I159="Missing","Not on your "&amp;Setup!$B$5&amp;" commission statement.","Your statement shows commission "&amp;DOLLAR(IF(H159="",0,H159),2)&amp;" (ours "&amp;DOLLAR(F159,2)&amp;")"&amp;IF(AND(G159&lt;&gt;"",ROUND(E159-IF(G159="",0,G159),2)&lt;&gt;0),"; sales price "&amp;DOLLAR(IF(G159="",0,G159),2)&amp;" (ours "&amp;DOLLAR(E159,2)&amp;")","")&amp;".")&amp;CHAR(10)&amp;IF('Our DOs'!G151&lt;&gt;"","We sent this Delivery Order"&amp;IF('Our DOs'!I151="Yes",", with the hospital's purchase order number,","")&amp;" on "&amp;'Our DOs'!G151&amp;IF('Our DOs'!H151&lt;&gt;""," by "&amp;LOWER('Our DOs'!H151),"")&amp;". The Delivery Order is available on request.","The Delivery Order is available on request."),"")</f>
      </c>
      <c r="N159" s="25">
        <f>IF(AND(OR(I159="Missing",I159="Differs"),K159&lt;&gt;"No"),1,0)</f>
      </c>
    </row>
    <row r="160" spans="1:14" x14ac:dyDescent="0.25">
      <c r="A160" s="19">
        <f>IF('Our DOs'!A152="","",'Our DOs'!A152)</f>
      </c>
      <c r="B160" s="19">
        <f>IF(A160="","",'Our DOs'!B152)</f>
      </c>
      <c r="C160" s="19">
        <f>IF(A160="","",'Our DOs'!C152)</f>
      </c>
      <c r="D160" s="19">
        <f>IF(A160="","",'Our DOs'!D152)</f>
      </c>
      <c r="E160" s="22">
        <f>IF(A160="","",'Our DOs'!E152)</f>
      </c>
      <c r="F160" s="22">
        <f>IF(A160="","",'Our DOs'!F152)</f>
      </c>
      <c r="G160" s="22">
        <f>IF(OR(A160="",B160=""),"",IFERROR(INDEX('Their statement'!$D$2:$D$201,MATCH(B160,'Their statement'!$A$2:$A$201,0)),""))</f>
      </c>
      <c r="H160" s="22">
        <f>IF(OR(A160="",B160=""),"",IFERROR(INDEX('Their statement'!$E$2:$E$201,MATCH(B160,'Their statement'!$A$2:$A$201,0)),""))</f>
      </c>
      <c r="I160" s="19">
        <f>IF(A160="","",IF(B160="","No PO yet",IF(ISNUMBER(MATCH(B160,'Their statement'!$A$2:$A$201,0)),IF(AND(ROUND(F160-IF(H160="",0,H160),2)=0,OR(G160="",ROUND(E160-IF(G160="",0,G160),2)=0)),"Matches","Differs"),"Missing")))</f>
      </c>
      <c r="J160" s="22">
        <f>IF(OR(I160="Missing",I160="Differs"),F160-IF(H160="",0,H160),"")</f>
      </c>
      <c r="K160" s="10"/>
      <c r="L160" s="23">
        <f>IF(N160=1,SUM($N$10:N160),"")</f>
      </c>
      <c r="M160" s="24">
        <f>IF(N160=1,"Customer PO "&amp;B160&amp;" · "&amp;C160&amp;" · case "&amp;D160&amp;CHAR(10)&amp;"Sales "&amp;DOLLAR(E160,2)&amp;" · commission "&amp;DOLLAR(F160,2)&amp;CHAR(10)&amp;IF(I160="Missing","Not on your "&amp;Setup!$B$5&amp;" commission statement.","Your statement shows commission "&amp;DOLLAR(IF(H160="",0,H160),2)&amp;" (ours "&amp;DOLLAR(F160,2)&amp;")"&amp;IF(AND(G160&lt;&gt;"",ROUND(E160-IF(G160="",0,G160),2)&lt;&gt;0),"; sales price "&amp;DOLLAR(IF(G160="",0,G160),2)&amp;" (ours "&amp;DOLLAR(E160,2)&amp;")","")&amp;".")&amp;CHAR(10)&amp;IF('Our DOs'!G152&lt;&gt;"","We sent this Delivery Order"&amp;IF('Our DOs'!I152="Yes",", with the hospital's purchase order number,","")&amp;" on "&amp;'Our DOs'!G152&amp;IF('Our DOs'!H152&lt;&gt;""," by "&amp;LOWER('Our DOs'!H152),"")&amp;". The Delivery Order is available on request.","The Delivery Order is available on request."),"")</f>
      </c>
      <c r="N160" s="25">
        <f>IF(AND(OR(I160="Missing",I160="Differs"),K160&lt;&gt;"No"),1,0)</f>
      </c>
    </row>
    <row r="161" spans="1:14" x14ac:dyDescent="0.25">
      <c r="A161" s="19">
        <f>IF('Our DOs'!A153="","",'Our DOs'!A153)</f>
      </c>
      <c r="B161" s="19">
        <f>IF(A161="","",'Our DOs'!B153)</f>
      </c>
      <c r="C161" s="19">
        <f>IF(A161="","",'Our DOs'!C153)</f>
      </c>
      <c r="D161" s="19">
        <f>IF(A161="","",'Our DOs'!D153)</f>
      </c>
      <c r="E161" s="22">
        <f>IF(A161="","",'Our DOs'!E153)</f>
      </c>
      <c r="F161" s="22">
        <f>IF(A161="","",'Our DOs'!F153)</f>
      </c>
      <c r="G161" s="22">
        <f>IF(OR(A161="",B161=""),"",IFERROR(INDEX('Their statement'!$D$2:$D$201,MATCH(B161,'Their statement'!$A$2:$A$201,0)),""))</f>
      </c>
      <c r="H161" s="22">
        <f>IF(OR(A161="",B161=""),"",IFERROR(INDEX('Their statement'!$E$2:$E$201,MATCH(B161,'Their statement'!$A$2:$A$201,0)),""))</f>
      </c>
      <c r="I161" s="19">
        <f>IF(A161="","",IF(B161="","No PO yet",IF(ISNUMBER(MATCH(B161,'Their statement'!$A$2:$A$201,0)),IF(AND(ROUND(F161-IF(H161="",0,H161),2)=0,OR(G161="",ROUND(E161-IF(G161="",0,G161),2)=0)),"Matches","Differs"),"Missing")))</f>
      </c>
      <c r="J161" s="22">
        <f>IF(OR(I161="Missing",I161="Differs"),F161-IF(H161="",0,H161),"")</f>
      </c>
      <c r="K161" s="10"/>
      <c r="L161" s="23">
        <f>IF(N161=1,SUM($N$10:N161),"")</f>
      </c>
      <c r="M161" s="24">
        <f>IF(N161=1,"Customer PO "&amp;B161&amp;" · "&amp;C161&amp;" · case "&amp;D161&amp;CHAR(10)&amp;"Sales "&amp;DOLLAR(E161,2)&amp;" · commission "&amp;DOLLAR(F161,2)&amp;CHAR(10)&amp;IF(I161="Missing","Not on your "&amp;Setup!$B$5&amp;" commission statement.","Your statement shows commission "&amp;DOLLAR(IF(H161="",0,H161),2)&amp;" (ours "&amp;DOLLAR(F161,2)&amp;")"&amp;IF(AND(G161&lt;&gt;"",ROUND(E161-IF(G161="",0,G161),2)&lt;&gt;0),"; sales price "&amp;DOLLAR(IF(G161="",0,G161),2)&amp;" (ours "&amp;DOLLAR(E161,2)&amp;")","")&amp;".")&amp;CHAR(10)&amp;IF('Our DOs'!G153&lt;&gt;"","We sent this Delivery Order"&amp;IF('Our DOs'!I153="Yes",", with the hospital's purchase order number,","")&amp;" on "&amp;'Our DOs'!G153&amp;IF('Our DOs'!H153&lt;&gt;""," by "&amp;LOWER('Our DOs'!H153),"")&amp;". The Delivery Order is available on request.","The Delivery Order is available on request."),"")</f>
      </c>
      <c r="N161" s="25">
        <f>IF(AND(OR(I161="Missing",I161="Differs"),K161&lt;&gt;"No"),1,0)</f>
      </c>
    </row>
    <row r="162" spans="1:14" x14ac:dyDescent="0.25">
      <c r="A162" s="19">
        <f>IF('Our DOs'!A154="","",'Our DOs'!A154)</f>
      </c>
      <c r="B162" s="19">
        <f>IF(A162="","",'Our DOs'!B154)</f>
      </c>
      <c r="C162" s="19">
        <f>IF(A162="","",'Our DOs'!C154)</f>
      </c>
      <c r="D162" s="19">
        <f>IF(A162="","",'Our DOs'!D154)</f>
      </c>
      <c r="E162" s="22">
        <f>IF(A162="","",'Our DOs'!E154)</f>
      </c>
      <c r="F162" s="22">
        <f>IF(A162="","",'Our DOs'!F154)</f>
      </c>
      <c r="G162" s="22">
        <f>IF(OR(A162="",B162=""),"",IFERROR(INDEX('Their statement'!$D$2:$D$201,MATCH(B162,'Their statement'!$A$2:$A$201,0)),""))</f>
      </c>
      <c r="H162" s="22">
        <f>IF(OR(A162="",B162=""),"",IFERROR(INDEX('Their statement'!$E$2:$E$201,MATCH(B162,'Their statement'!$A$2:$A$201,0)),""))</f>
      </c>
      <c r="I162" s="19">
        <f>IF(A162="","",IF(B162="","No PO yet",IF(ISNUMBER(MATCH(B162,'Their statement'!$A$2:$A$201,0)),IF(AND(ROUND(F162-IF(H162="",0,H162),2)=0,OR(G162="",ROUND(E162-IF(G162="",0,G162),2)=0)),"Matches","Differs"),"Missing")))</f>
      </c>
      <c r="J162" s="22">
        <f>IF(OR(I162="Missing",I162="Differs"),F162-IF(H162="",0,H162),"")</f>
      </c>
      <c r="K162" s="10"/>
      <c r="L162" s="23">
        <f>IF(N162=1,SUM($N$10:N162),"")</f>
      </c>
      <c r="M162" s="24">
        <f>IF(N162=1,"Customer PO "&amp;B162&amp;" · "&amp;C162&amp;" · case "&amp;D162&amp;CHAR(10)&amp;"Sales "&amp;DOLLAR(E162,2)&amp;" · commission "&amp;DOLLAR(F162,2)&amp;CHAR(10)&amp;IF(I162="Missing","Not on your "&amp;Setup!$B$5&amp;" commission statement.","Your statement shows commission "&amp;DOLLAR(IF(H162="",0,H162),2)&amp;" (ours "&amp;DOLLAR(F162,2)&amp;")"&amp;IF(AND(G162&lt;&gt;"",ROUND(E162-IF(G162="",0,G162),2)&lt;&gt;0),"; sales price "&amp;DOLLAR(IF(G162="",0,G162),2)&amp;" (ours "&amp;DOLLAR(E162,2)&amp;")","")&amp;".")&amp;CHAR(10)&amp;IF('Our DOs'!G154&lt;&gt;"","We sent this Delivery Order"&amp;IF('Our DOs'!I154="Yes",", with the hospital's purchase order number,","")&amp;" on "&amp;'Our DOs'!G154&amp;IF('Our DOs'!H154&lt;&gt;""," by "&amp;LOWER('Our DOs'!H154),"")&amp;". The Delivery Order is available on request.","The Delivery Order is available on request."),"")</f>
      </c>
      <c r="N162" s="25">
        <f>IF(AND(OR(I162="Missing",I162="Differs"),K162&lt;&gt;"No"),1,0)</f>
      </c>
    </row>
    <row r="163" spans="1:14" x14ac:dyDescent="0.25">
      <c r="A163" s="19">
        <f>IF('Our DOs'!A155="","",'Our DOs'!A155)</f>
      </c>
      <c r="B163" s="19">
        <f>IF(A163="","",'Our DOs'!B155)</f>
      </c>
      <c r="C163" s="19">
        <f>IF(A163="","",'Our DOs'!C155)</f>
      </c>
      <c r="D163" s="19">
        <f>IF(A163="","",'Our DOs'!D155)</f>
      </c>
      <c r="E163" s="22">
        <f>IF(A163="","",'Our DOs'!E155)</f>
      </c>
      <c r="F163" s="22">
        <f>IF(A163="","",'Our DOs'!F155)</f>
      </c>
      <c r="G163" s="22">
        <f>IF(OR(A163="",B163=""),"",IFERROR(INDEX('Their statement'!$D$2:$D$201,MATCH(B163,'Their statement'!$A$2:$A$201,0)),""))</f>
      </c>
      <c r="H163" s="22">
        <f>IF(OR(A163="",B163=""),"",IFERROR(INDEX('Their statement'!$E$2:$E$201,MATCH(B163,'Their statement'!$A$2:$A$201,0)),""))</f>
      </c>
      <c r="I163" s="19">
        <f>IF(A163="","",IF(B163="","No PO yet",IF(ISNUMBER(MATCH(B163,'Their statement'!$A$2:$A$201,0)),IF(AND(ROUND(F163-IF(H163="",0,H163),2)=0,OR(G163="",ROUND(E163-IF(G163="",0,G163),2)=0)),"Matches","Differs"),"Missing")))</f>
      </c>
      <c r="J163" s="22">
        <f>IF(OR(I163="Missing",I163="Differs"),F163-IF(H163="",0,H163),"")</f>
      </c>
      <c r="K163" s="10"/>
      <c r="L163" s="23">
        <f>IF(N163=1,SUM($N$10:N163),"")</f>
      </c>
      <c r="M163" s="24">
        <f>IF(N163=1,"Customer PO "&amp;B163&amp;" · "&amp;C163&amp;" · case "&amp;D163&amp;CHAR(10)&amp;"Sales "&amp;DOLLAR(E163,2)&amp;" · commission "&amp;DOLLAR(F163,2)&amp;CHAR(10)&amp;IF(I163="Missing","Not on your "&amp;Setup!$B$5&amp;" commission statement.","Your statement shows commission "&amp;DOLLAR(IF(H163="",0,H163),2)&amp;" (ours "&amp;DOLLAR(F163,2)&amp;")"&amp;IF(AND(G163&lt;&gt;"",ROUND(E163-IF(G163="",0,G163),2)&lt;&gt;0),"; sales price "&amp;DOLLAR(IF(G163="",0,G163),2)&amp;" (ours "&amp;DOLLAR(E163,2)&amp;")","")&amp;".")&amp;CHAR(10)&amp;IF('Our DOs'!G155&lt;&gt;"","We sent this Delivery Order"&amp;IF('Our DOs'!I155="Yes",", with the hospital's purchase order number,","")&amp;" on "&amp;'Our DOs'!G155&amp;IF('Our DOs'!H155&lt;&gt;""," by "&amp;LOWER('Our DOs'!H155),"")&amp;". The Delivery Order is available on request.","The Delivery Order is available on request."),"")</f>
      </c>
      <c r="N163" s="25">
        <f>IF(AND(OR(I163="Missing",I163="Differs"),K163&lt;&gt;"No"),1,0)</f>
      </c>
    </row>
    <row r="164" spans="1:14" x14ac:dyDescent="0.25">
      <c r="A164" s="19">
        <f>IF('Our DOs'!A156="","",'Our DOs'!A156)</f>
      </c>
      <c r="B164" s="19">
        <f>IF(A164="","",'Our DOs'!B156)</f>
      </c>
      <c r="C164" s="19">
        <f>IF(A164="","",'Our DOs'!C156)</f>
      </c>
      <c r="D164" s="19">
        <f>IF(A164="","",'Our DOs'!D156)</f>
      </c>
      <c r="E164" s="22">
        <f>IF(A164="","",'Our DOs'!E156)</f>
      </c>
      <c r="F164" s="22">
        <f>IF(A164="","",'Our DOs'!F156)</f>
      </c>
      <c r="G164" s="22">
        <f>IF(OR(A164="",B164=""),"",IFERROR(INDEX('Their statement'!$D$2:$D$201,MATCH(B164,'Their statement'!$A$2:$A$201,0)),""))</f>
      </c>
      <c r="H164" s="22">
        <f>IF(OR(A164="",B164=""),"",IFERROR(INDEX('Their statement'!$E$2:$E$201,MATCH(B164,'Their statement'!$A$2:$A$201,0)),""))</f>
      </c>
      <c r="I164" s="19">
        <f>IF(A164="","",IF(B164="","No PO yet",IF(ISNUMBER(MATCH(B164,'Their statement'!$A$2:$A$201,0)),IF(AND(ROUND(F164-IF(H164="",0,H164),2)=0,OR(G164="",ROUND(E164-IF(G164="",0,G164),2)=0)),"Matches","Differs"),"Missing")))</f>
      </c>
      <c r="J164" s="22">
        <f>IF(OR(I164="Missing",I164="Differs"),F164-IF(H164="",0,H164),"")</f>
      </c>
      <c r="K164" s="10"/>
      <c r="L164" s="23">
        <f>IF(N164=1,SUM($N$10:N164),"")</f>
      </c>
      <c r="M164" s="24">
        <f>IF(N164=1,"Customer PO "&amp;B164&amp;" · "&amp;C164&amp;" · case "&amp;D164&amp;CHAR(10)&amp;"Sales "&amp;DOLLAR(E164,2)&amp;" · commission "&amp;DOLLAR(F164,2)&amp;CHAR(10)&amp;IF(I164="Missing","Not on your "&amp;Setup!$B$5&amp;" commission statement.","Your statement shows commission "&amp;DOLLAR(IF(H164="",0,H164),2)&amp;" (ours "&amp;DOLLAR(F164,2)&amp;")"&amp;IF(AND(G164&lt;&gt;"",ROUND(E164-IF(G164="",0,G164),2)&lt;&gt;0),"; sales price "&amp;DOLLAR(IF(G164="",0,G164),2)&amp;" (ours "&amp;DOLLAR(E164,2)&amp;")","")&amp;".")&amp;CHAR(10)&amp;IF('Our DOs'!G156&lt;&gt;"","We sent this Delivery Order"&amp;IF('Our DOs'!I156="Yes",", with the hospital's purchase order number,","")&amp;" on "&amp;'Our DOs'!G156&amp;IF('Our DOs'!H156&lt;&gt;""," by "&amp;LOWER('Our DOs'!H156),"")&amp;". The Delivery Order is available on request.","The Delivery Order is available on request."),"")</f>
      </c>
      <c r="N164" s="25">
        <f>IF(AND(OR(I164="Missing",I164="Differs"),K164&lt;&gt;"No"),1,0)</f>
      </c>
    </row>
    <row r="165" spans="1:14" x14ac:dyDescent="0.25">
      <c r="A165" s="19">
        <f>IF('Our DOs'!A157="","",'Our DOs'!A157)</f>
      </c>
      <c r="B165" s="19">
        <f>IF(A165="","",'Our DOs'!B157)</f>
      </c>
      <c r="C165" s="19">
        <f>IF(A165="","",'Our DOs'!C157)</f>
      </c>
      <c r="D165" s="19">
        <f>IF(A165="","",'Our DOs'!D157)</f>
      </c>
      <c r="E165" s="22">
        <f>IF(A165="","",'Our DOs'!E157)</f>
      </c>
      <c r="F165" s="22">
        <f>IF(A165="","",'Our DOs'!F157)</f>
      </c>
      <c r="G165" s="22">
        <f>IF(OR(A165="",B165=""),"",IFERROR(INDEX('Their statement'!$D$2:$D$201,MATCH(B165,'Their statement'!$A$2:$A$201,0)),""))</f>
      </c>
      <c r="H165" s="22">
        <f>IF(OR(A165="",B165=""),"",IFERROR(INDEX('Their statement'!$E$2:$E$201,MATCH(B165,'Their statement'!$A$2:$A$201,0)),""))</f>
      </c>
      <c r="I165" s="19">
        <f>IF(A165="","",IF(B165="","No PO yet",IF(ISNUMBER(MATCH(B165,'Their statement'!$A$2:$A$201,0)),IF(AND(ROUND(F165-IF(H165="",0,H165),2)=0,OR(G165="",ROUND(E165-IF(G165="",0,G165),2)=0)),"Matches","Differs"),"Missing")))</f>
      </c>
      <c r="J165" s="22">
        <f>IF(OR(I165="Missing",I165="Differs"),F165-IF(H165="",0,H165),"")</f>
      </c>
      <c r="K165" s="10"/>
      <c r="L165" s="23">
        <f>IF(N165=1,SUM($N$10:N165),"")</f>
      </c>
      <c r="M165" s="24">
        <f>IF(N165=1,"Customer PO "&amp;B165&amp;" · "&amp;C165&amp;" · case "&amp;D165&amp;CHAR(10)&amp;"Sales "&amp;DOLLAR(E165,2)&amp;" · commission "&amp;DOLLAR(F165,2)&amp;CHAR(10)&amp;IF(I165="Missing","Not on your "&amp;Setup!$B$5&amp;" commission statement.","Your statement shows commission "&amp;DOLLAR(IF(H165="",0,H165),2)&amp;" (ours "&amp;DOLLAR(F165,2)&amp;")"&amp;IF(AND(G165&lt;&gt;"",ROUND(E165-IF(G165="",0,G165),2)&lt;&gt;0),"; sales price "&amp;DOLLAR(IF(G165="",0,G165),2)&amp;" (ours "&amp;DOLLAR(E165,2)&amp;")","")&amp;".")&amp;CHAR(10)&amp;IF('Our DOs'!G157&lt;&gt;"","We sent this Delivery Order"&amp;IF('Our DOs'!I157="Yes",", with the hospital's purchase order number,","")&amp;" on "&amp;'Our DOs'!G157&amp;IF('Our DOs'!H157&lt;&gt;""," by "&amp;LOWER('Our DOs'!H157),"")&amp;". The Delivery Order is available on request.","The Delivery Order is available on request."),"")</f>
      </c>
      <c r="N165" s="25">
        <f>IF(AND(OR(I165="Missing",I165="Differs"),K165&lt;&gt;"No"),1,0)</f>
      </c>
    </row>
    <row r="166" spans="1:14" x14ac:dyDescent="0.25">
      <c r="A166" s="19">
        <f>IF('Our DOs'!A158="","",'Our DOs'!A158)</f>
      </c>
      <c r="B166" s="19">
        <f>IF(A166="","",'Our DOs'!B158)</f>
      </c>
      <c r="C166" s="19">
        <f>IF(A166="","",'Our DOs'!C158)</f>
      </c>
      <c r="D166" s="19">
        <f>IF(A166="","",'Our DOs'!D158)</f>
      </c>
      <c r="E166" s="22">
        <f>IF(A166="","",'Our DOs'!E158)</f>
      </c>
      <c r="F166" s="22">
        <f>IF(A166="","",'Our DOs'!F158)</f>
      </c>
      <c r="G166" s="22">
        <f>IF(OR(A166="",B166=""),"",IFERROR(INDEX('Their statement'!$D$2:$D$201,MATCH(B166,'Their statement'!$A$2:$A$201,0)),""))</f>
      </c>
      <c r="H166" s="22">
        <f>IF(OR(A166="",B166=""),"",IFERROR(INDEX('Their statement'!$E$2:$E$201,MATCH(B166,'Their statement'!$A$2:$A$201,0)),""))</f>
      </c>
      <c r="I166" s="19">
        <f>IF(A166="","",IF(B166="","No PO yet",IF(ISNUMBER(MATCH(B166,'Their statement'!$A$2:$A$201,0)),IF(AND(ROUND(F166-IF(H166="",0,H166),2)=0,OR(G166="",ROUND(E166-IF(G166="",0,G166),2)=0)),"Matches","Differs"),"Missing")))</f>
      </c>
      <c r="J166" s="22">
        <f>IF(OR(I166="Missing",I166="Differs"),F166-IF(H166="",0,H166),"")</f>
      </c>
      <c r="K166" s="10"/>
      <c r="L166" s="23">
        <f>IF(N166=1,SUM($N$10:N166),"")</f>
      </c>
      <c r="M166" s="24">
        <f>IF(N166=1,"Customer PO "&amp;B166&amp;" · "&amp;C166&amp;" · case "&amp;D166&amp;CHAR(10)&amp;"Sales "&amp;DOLLAR(E166,2)&amp;" · commission "&amp;DOLLAR(F166,2)&amp;CHAR(10)&amp;IF(I166="Missing","Not on your "&amp;Setup!$B$5&amp;" commission statement.","Your statement shows commission "&amp;DOLLAR(IF(H166="",0,H166),2)&amp;" (ours "&amp;DOLLAR(F166,2)&amp;")"&amp;IF(AND(G166&lt;&gt;"",ROUND(E166-IF(G166="",0,G166),2)&lt;&gt;0),"; sales price "&amp;DOLLAR(IF(G166="",0,G166),2)&amp;" (ours "&amp;DOLLAR(E166,2)&amp;")","")&amp;".")&amp;CHAR(10)&amp;IF('Our DOs'!G158&lt;&gt;"","We sent this Delivery Order"&amp;IF('Our DOs'!I158="Yes",", with the hospital's purchase order number,","")&amp;" on "&amp;'Our DOs'!G158&amp;IF('Our DOs'!H158&lt;&gt;""," by "&amp;LOWER('Our DOs'!H158),"")&amp;". The Delivery Order is available on request.","The Delivery Order is available on request."),"")</f>
      </c>
      <c r="N166" s="25">
        <f>IF(AND(OR(I166="Missing",I166="Differs"),K166&lt;&gt;"No"),1,0)</f>
      </c>
    </row>
    <row r="167" spans="1:14" x14ac:dyDescent="0.25">
      <c r="A167" s="19">
        <f>IF('Our DOs'!A159="","",'Our DOs'!A159)</f>
      </c>
      <c r="B167" s="19">
        <f>IF(A167="","",'Our DOs'!B159)</f>
      </c>
      <c r="C167" s="19">
        <f>IF(A167="","",'Our DOs'!C159)</f>
      </c>
      <c r="D167" s="19">
        <f>IF(A167="","",'Our DOs'!D159)</f>
      </c>
      <c r="E167" s="22">
        <f>IF(A167="","",'Our DOs'!E159)</f>
      </c>
      <c r="F167" s="22">
        <f>IF(A167="","",'Our DOs'!F159)</f>
      </c>
      <c r="G167" s="22">
        <f>IF(OR(A167="",B167=""),"",IFERROR(INDEX('Their statement'!$D$2:$D$201,MATCH(B167,'Their statement'!$A$2:$A$201,0)),""))</f>
      </c>
      <c r="H167" s="22">
        <f>IF(OR(A167="",B167=""),"",IFERROR(INDEX('Their statement'!$E$2:$E$201,MATCH(B167,'Their statement'!$A$2:$A$201,0)),""))</f>
      </c>
      <c r="I167" s="19">
        <f>IF(A167="","",IF(B167="","No PO yet",IF(ISNUMBER(MATCH(B167,'Their statement'!$A$2:$A$201,0)),IF(AND(ROUND(F167-IF(H167="",0,H167),2)=0,OR(G167="",ROUND(E167-IF(G167="",0,G167),2)=0)),"Matches","Differs"),"Missing")))</f>
      </c>
      <c r="J167" s="22">
        <f>IF(OR(I167="Missing",I167="Differs"),F167-IF(H167="",0,H167),"")</f>
      </c>
      <c r="K167" s="10"/>
      <c r="L167" s="23">
        <f>IF(N167=1,SUM($N$10:N167),"")</f>
      </c>
      <c r="M167" s="24">
        <f>IF(N167=1,"Customer PO "&amp;B167&amp;" · "&amp;C167&amp;" · case "&amp;D167&amp;CHAR(10)&amp;"Sales "&amp;DOLLAR(E167,2)&amp;" · commission "&amp;DOLLAR(F167,2)&amp;CHAR(10)&amp;IF(I167="Missing","Not on your "&amp;Setup!$B$5&amp;" commission statement.","Your statement shows commission "&amp;DOLLAR(IF(H167="",0,H167),2)&amp;" (ours "&amp;DOLLAR(F167,2)&amp;")"&amp;IF(AND(G167&lt;&gt;"",ROUND(E167-IF(G167="",0,G167),2)&lt;&gt;0),"; sales price "&amp;DOLLAR(IF(G167="",0,G167),2)&amp;" (ours "&amp;DOLLAR(E167,2)&amp;")","")&amp;".")&amp;CHAR(10)&amp;IF('Our DOs'!G159&lt;&gt;"","We sent this Delivery Order"&amp;IF('Our DOs'!I159="Yes",", with the hospital's purchase order number,","")&amp;" on "&amp;'Our DOs'!G159&amp;IF('Our DOs'!H159&lt;&gt;""," by "&amp;LOWER('Our DOs'!H159),"")&amp;". The Delivery Order is available on request.","The Delivery Order is available on request."),"")</f>
      </c>
      <c r="N167" s="25">
        <f>IF(AND(OR(I167="Missing",I167="Differs"),K167&lt;&gt;"No"),1,0)</f>
      </c>
    </row>
    <row r="168" spans="1:14" x14ac:dyDescent="0.25">
      <c r="A168" s="19">
        <f>IF('Our DOs'!A160="","",'Our DOs'!A160)</f>
      </c>
      <c r="B168" s="19">
        <f>IF(A168="","",'Our DOs'!B160)</f>
      </c>
      <c r="C168" s="19">
        <f>IF(A168="","",'Our DOs'!C160)</f>
      </c>
      <c r="D168" s="19">
        <f>IF(A168="","",'Our DOs'!D160)</f>
      </c>
      <c r="E168" s="22">
        <f>IF(A168="","",'Our DOs'!E160)</f>
      </c>
      <c r="F168" s="22">
        <f>IF(A168="","",'Our DOs'!F160)</f>
      </c>
      <c r="G168" s="22">
        <f>IF(OR(A168="",B168=""),"",IFERROR(INDEX('Their statement'!$D$2:$D$201,MATCH(B168,'Their statement'!$A$2:$A$201,0)),""))</f>
      </c>
      <c r="H168" s="22">
        <f>IF(OR(A168="",B168=""),"",IFERROR(INDEX('Their statement'!$E$2:$E$201,MATCH(B168,'Their statement'!$A$2:$A$201,0)),""))</f>
      </c>
      <c r="I168" s="19">
        <f>IF(A168="","",IF(B168="","No PO yet",IF(ISNUMBER(MATCH(B168,'Their statement'!$A$2:$A$201,0)),IF(AND(ROUND(F168-IF(H168="",0,H168),2)=0,OR(G168="",ROUND(E168-IF(G168="",0,G168),2)=0)),"Matches","Differs"),"Missing")))</f>
      </c>
      <c r="J168" s="22">
        <f>IF(OR(I168="Missing",I168="Differs"),F168-IF(H168="",0,H168),"")</f>
      </c>
      <c r="K168" s="10"/>
      <c r="L168" s="23">
        <f>IF(N168=1,SUM($N$10:N168),"")</f>
      </c>
      <c r="M168" s="24">
        <f>IF(N168=1,"Customer PO "&amp;B168&amp;" · "&amp;C168&amp;" · case "&amp;D168&amp;CHAR(10)&amp;"Sales "&amp;DOLLAR(E168,2)&amp;" · commission "&amp;DOLLAR(F168,2)&amp;CHAR(10)&amp;IF(I168="Missing","Not on your "&amp;Setup!$B$5&amp;" commission statement.","Your statement shows commission "&amp;DOLLAR(IF(H168="",0,H168),2)&amp;" (ours "&amp;DOLLAR(F168,2)&amp;")"&amp;IF(AND(G168&lt;&gt;"",ROUND(E168-IF(G168="",0,G168),2)&lt;&gt;0),"; sales price "&amp;DOLLAR(IF(G168="",0,G168),2)&amp;" (ours "&amp;DOLLAR(E168,2)&amp;")","")&amp;".")&amp;CHAR(10)&amp;IF('Our DOs'!G160&lt;&gt;"","We sent this Delivery Order"&amp;IF('Our DOs'!I160="Yes",", with the hospital's purchase order number,","")&amp;" on "&amp;'Our DOs'!G160&amp;IF('Our DOs'!H160&lt;&gt;""," by "&amp;LOWER('Our DOs'!H160),"")&amp;". The Delivery Order is available on request.","The Delivery Order is available on request."),"")</f>
      </c>
      <c r="N168" s="25">
        <f>IF(AND(OR(I168="Missing",I168="Differs"),K168&lt;&gt;"No"),1,0)</f>
      </c>
    </row>
    <row r="169" spans="1:14" x14ac:dyDescent="0.25">
      <c r="A169" s="19">
        <f>IF('Our DOs'!A161="","",'Our DOs'!A161)</f>
      </c>
      <c r="B169" s="19">
        <f>IF(A169="","",'Our DOs'!B161)</f>
      </c>
      <c r="C169" s="19">
        <f>IF(A169="","",'Our DOs'!C161)</f>
      </c>
      <c r="D169" s="19">
        <f>IF(A169="","",'Our DOs'!D161)</f>
      </c>
      <c r="E169" s="22">
        <f>IF(A169="","",'Our DOs'!E161)</f>
      </c>
      <c r="F169" s="22">
        <f>IF(A169="","",'Our DOs'!F161)</f>
      </c>
      <c r="G169" s="22">
        <f>IF(OR(A169="",B169=""),"",IFERROR(INDEX('Their statement'!$D$2:$D$201,MATCH(B169,'Their statement'!$A$2:$A$201,0)),""))</f>
      </c>
      <c r="H169" s="22">
        <f>IF(OR(A169="",B169=""),"",IFERROR(INDEX('Their statement'!$E$2:$E$201,MATCH(B169,'Their statement'!$A$2:$A$201,0)),""))</f>
      </c>
      <c r="I169" s="19">
        <f>IF(A169="","",IF(B169="","No PO yet",IF(ISNUMBER(MATCH(B169,'Their statement'!$A$2:$A$201,0)),IF(AND(ROUND(F169-IF(H169="",0,H169),2)=0,OR(G169="",ROUND(E169-IF(G169="",0,G169),2)=0)),"Matches","Differs"),"Missing")))</f>
      </c>
      <c r="J169" s="22">
        <f>IF(OR(I169="Missing",I169="Differs"),F169-IF(H169="",0,H169),"")</f>
      </c>
      <c r="K169" s="10"/>
      <c r="L169" s="23">
        <f>IF(N169=1,SUM($N$10:N169),"")</f>
      </c>
      <c r="M169" s="24">
        <f>IF(N169=1,"Customer PO "&amp;B169&amp;" · "&amp;C169&amp;" · case "&amp;D169&amp;CHAR(10)&amp;"Sales "&amp;DOLLAR(E169,2)&amp;" · commission "&amp;DOLLAR(F169,2)&amp;CHAR(10)&amp;IF(I169="Missing","Not on your "&amp;Setup!$B$5&amp;" commission statement.","Your statement shows commission "&amp;DOLLAR(IF(H169="",0,H169),2)&amp;" (ours "&amp;DOLLAR(F169,2)&amp;")"&amp;IF(AND(G169&lt;&gt;"",ROUND(E169-IF(G169="",0,G169),2)&lt;&gt;0),"; sales price "&amp;DOLLAR(IF(G169="",0,G169),2)&amp;" (ours "&amp;DOLLAR(E169,2)&amp;")","")&amp;".")&amp;CHAR(10)&amp;IF('Our DOs'!G161&lt;&gt;"","We sent this Delivery Order"&amp;IF('Our DOs'!I161="Yes",", with the hospital's purchase order number,","")&amp;" on "&amp;'Our DOs'!G161&amp;IF('Our DOs'!H161&lt;&gt;""," by "&amp;LOWER('Our DOs'!H161),"")&amp;". The Delivery Order is available on request.","The Delivery Order is available on request."),"")</f>
      </c>
      <c r="N169" s="25">
        <f>IF(AND(OR(I169="Missing",I169="Differs"),K169&lt;&gt;"No"),1,0)</f>
      </c>
    </row>
    <row r="170" spans="1:14" x14ac:dyDescent="0.25">
      <c r="A170" s="19">
        <f>IF('Our DOs'!A162="","",'Our DOs'!A162)</f>
      </c>
      <c r="B170" s="19">
        <f>IF(A170="","",'Our DOs'!B162)</f>
      </c>
      <c r="C170" s="19">
        <f>IF(A170="","",'Our DOs'!C162)</f>
      </c>
      <c r="D170" s="19">
        <f>IF(A170="","",'Our DOs'!D162)</f>
      </c>
      <c r="E170" s="22">
        <f>IF(A170="","",'Our DOs'!E162)</f>
      </c>
      <c r="F170" s="22">
        <f>IF(A170="","",'Our DOs'!F162)</f>
      </c>
      <c r="G170" s="22">
        <f>IF(OR(A170="",B170=""),"",IFERROR(INDEX('Their statement'!$D$2:$D$201,MATCH(B170,'Their statement'!$A$2:$A$201,0)),""))</f>
      </c>
      <c r="H170" s="22">
        <f>IF(OR(A170="",B170=""),"",IFERROR(INDEX('Their statement'!$E$2:$E$201,MATCH(B170,'Their statement'!$A$2:$A$201,0)),""))</f>
      </c>
      <c r="I170" s="19">
        <f>IF(A170="","",IF(B170="","No PO yet",IF(ISNUMBER(MATCH(B170,'Their statement'!$A$2:$A$201,0)),IF(AND(ROUND(F170-IF(H170="",0,H170),2)=0,OR(G170="",ROUND(E170-IF(G170="",0,G170),2)=0)),"Matches","Differs"),"Missing")))</f>
      </c>
      <c r="J170" s="22">
        <f>IF(OR(I170="Missing",I170="Differs"),F170-IF(H170="",0,H170),"")</f>
      </c>
      <c r="K170" s="10"/>
      <c r="L170" s="23">
        <f>IF(N170=1,SUM($N$10:N170),"")</f>
      </c>
      <c r="M170" s="24">
        <f>IF(N170=1,"Customer PO "&amp;B170&amp;" · "&amp;C170&amp;" · case "&amp;D170&amp;CHAR(10)&amp;"Sales "&amp;DOLLAR(E170,2)&amp;" · commission "&amp;DOLLAR(F170,2)&amp;CHAR(10)&amp;IF(I170="Missing","Not on your "&amp;Setup!$B$5&amp;" commission statement.","Your statement shows commission "&amp;DOLLAR(IF(H170="",0,H170),2)&amp;" (ours "&amp;DOLLAR(F170,2)&amp;")"&amp;IF(AND(G170&lt;&gt;"",ROUND(E170-IF(G170="",0,G170),2)&lt;&gt;0),"; sales price "&amp;DOLLAR(IF(G170="",0,G170),2)&amp;" (ours "&amp;DOLLAR(E170,2)&amp;")","")&amp;".")&amp;CHAR(10)&amp;IF('Our DOs'!G162&lt;&gt;"","We sent this Delivery Order"&amp;IF('Our DOs'!I162="Yes",", with the hospital's purchase order number,","")&amp;" on "&amp;'Our DOs'!G162&amp;IF('Our DOs'!H162&lt;&gt;""," by "&amp;LOWER('Our DOs'!H162),"")&amp;". The Delivery Order is available on request.","The Delivery Order is available on request."),"")</f>
      </c>
      <c r="N170" s="25">
        <f>IF(AND(OR(I170="Missing",I170="Differs"),K170&lt;&gt;"No"),1,0)</f>
      </c>
    </row>
    <row r="171" spans="1:14" x14ac:dyDescent="0.25">
      <c r="A171" s="19">
        <f>IF('Our DOs'!A163="","",'Our DOs'!A163)</f>
      </c>
      <c r="B171" s="19">
        <f>IF(A171="","",'Our DOs'!B163)</f>
      </c>
      <c r="C171" s="19">
        <f>IF(A171="","",'Our DOs'!C163)</f>
      </c>
      <c r="D171" s="19">
        <f>IF(A171="","",'Our DOs'!D163)</f>
      </c>
      <c r="E171" s="22">
        <f>IF(A171="","",'Our DOs'!E163)</f>
      </c>
      <c r="F171" s="22">
        <f>IF(A171="","",'Our DOs'!F163)</f>
      </c>
      <c r="G171" s="22">
        <f>IF(OR(A171="",B171=""),"",IFERROR(INDEX('Their statement'!$D$2:$D$201,MATCH(B171,'Their statement'!$A$2:$A$201,0)),""))</f>
      </c>
      <c r="H171" s="22">
        <f>IF(OR(A171="",B171=""),"",IFERROR(INDEX('Their statement'!$E$2:$E$201,MATCH(B171,'Their statement'!$A$2:$A$201,0)),""))</f>
      </c>
      <c r="I171" s="19">
        <f>IF(A171="","",IF(B171="","No PO yet",IF(ISNUMBER(MATCH(B171,'Their statement'!$A$2:$A$201,0)),IF(AND(ROUND(F171-IF(H171="",0,H171),2)=0,OR(G171="",ROUND(E171-IF(G171="",0,G171),2)=0)),"Matches","Differs"),"Missing")))</f>
      </c>
      <c r="J171" s="22">
        <f>IF(OR(I171="Missing",I171="Differs"),F171-IF(H171="",0,H171),"")</f>
      </c>
      <c r="K171" s="10"/>
      <c r="L171" s="23">
        <f>IF(N171=1,SUM($N$10:N171),"")</f>
      </c>
      <c r="M171" s="24">
        <f>IF(N171=1,"Customer PO "&amp;B171&amp;" · "&amp;C171&amp;" · case "&amp;D171&amp;CHAR(10)&amp;"Sales "&amp;DOLLAR(E171,2)&amp;" · commission "&amp;DOLLAR(F171,2)&amp;CHAR(10)&amp;IF(I171="Missing","Not on your "&amp;Setup!$B$5&amp;" commission statement.","Your statement shows commission "&amp;DOLLAR(IF(H171="",0,H171),2)&amp;" (ours "&amp;DOLLAR(F171,2)&amp;")"&amp;IF(AND(G171&lt;&gt;"",ROUND(E171-IF(G171="",0,G171),2)&lt;&gt;0),"; sales price "&amp;DOLLAR(IF(G171="",0,G171),2)&amp;" (ours "&amp;DOLLAR(E171,2)&amp;")","")&amp;".")&amp;CHAR(10)&amp;IF('Our DOs'!G163&lt;&gt;"","We sent this Delivery Order"&amp;IF('Our DOs'!I163="Yes",", with the hospital's purchase order number,","")&amp;" on "&amp;'Our DOs'!G163&amp;IF('Our DOs'!H163&lt;&gt;""," by "&amp;LOWER('Our DOs'!H163),"")&amp;". The Delivery Order is available on request.","The Delivery Order is available on request."),"")</f>
      </c>
      <c r="N171" s="25">
        <f>IF(AND(OR(I171="Missing",I171="Differs"),K171&lt;&gt;"No"),1,0)</f>
      </c>
    </row>
    <row r="172" spans="1:14" x14ac:dyDescent="0.25">
      <c r="A172" s="19">
        <f>IF('Our DOs'!A164="","",'Our DOs'!A164)</f>
      </c>
      <c r="B172" s="19">
        <f>IF(A172="","",'Our DOs'!B164)</f>
      </c>
      <c r="C172" s="19">
        <f>IF(A172="","",'Our DOs'!C164)</f>
      </c>
      <c r="D172" s="19">
        <f>IF(A172="","",'Our DOs'!D164)</f>
      </c>
      <c r="E172" s="22">
        <f>IF(A172="","",'Our DOs'!E164)</f>
      </c>
      <c r="F172" s="22">
        <f>IF(A172="","",'Our DOs'!F164)</f>
      </c>
      <c r="G172" s="22">
        <f>IF(OR(A172="",B172=""),"",IFERROR(INDEX('Their statement'!$D$2:$D$201,MATCH(B172,'Their statement'!$A$2:$A$201,0)),""))</f>
      </c>
      <c r="H172" s="22">
        <f>IF(OR(A172="",B172=""),"",IFERROR(INDEX('Their statement'!$E$2:$E$201,MATCH(B172,'Their statement'!$A$2:$A$201,0)),""))</f>
      </c>
      <c r="I172" s="19">
        <f>IF(A172="","",IF(B172="","No PO yet",IF(ISNUMBER(MATCH(B172,'Their statement'!$A$2:$A$201,0)),IF(AND(ROUND(F172-IF(H172="",0,H172),2)=0,OR(G172="",ROUND(E172-IF(G172="",0,G172),2)=0)),"Matches","Differs"),"Missing")))</f>
      </c>
      <c r="J172" s="22">
        <f>IF(OR(I172="Missing",I172="Differs"),F172-IF(H172="",0,H172),"")</f>
      </c>
      <c r="K172" s="10"/>
      <c r="L172" s="23">
        <f>IF(N172=1,SUM($N$10:N172),"")</f>
      </c>
      <c r="M172" s="24">
        <f>IF(N172=1,"Customer PO "&amp;B172&amp;" · "&amp;C172&amp;" · case "&amp;D172&amp;CHAR(10)&amp;"Sales "&amp;DOLLAR(E172,2)&amp;" · commission "&amp;DOLLAR(F172,2)&amp;CHAR(10)&amp;IF(I172="Missing","Not on your "&amp;Setup!$B$5&amp;" commission statement.","Your statement shows commission "&amp;DOLLAR(IF(H172="",0,H172),2)&amp;" (ours "&amp;DOLLAR(F172,2)&amp;")"&amp;IF(AND(G172&lt;&gt;"",ROUND(E172-IF(G172="",0,G172),2)&lt;&gt;0),"; sales price "&amp;DOLLAR(IF(G172="",0,G172),2)&amp;" (ours "&amp;DOLLAR(E172,2)&amp;")","")&amp;".")&amp;CHAR(10)&amp;IF('Our DOs'!G164&lt;&gt;"","We sent this Delivery Order"&amp;IF('Our DOs'!I164="Yes",", with the hospital's purchase order number,","")&amp;" on "&amp;'Our DOs'!G164&amp;IF('Our DOs'!H164&lt;&gt;""," by "&amp;LOWER('Our DOs'!H164),"")&amp;". The Delivery Order is available on request.","The Delivery Order is available on request."),"")</f>
      </c>
      <c r="N172" s="25">
        <f>IF(AND(OR(I172="Missing",I172="Differs"),K172&lt;&gt;"No"),1,0)</f>
      </c>
    </row>
    <row r="173" spans="1:14" x14ac:dyDescent="0.25">
      <c r="A173" s="19">
        <f>IF('Our DOs'!A165="","",'Our DOs'!A165)</f>
      </c>
      <c r="B173" s="19">
        <f>IF(A173="","",'Our DOs'!B165)</f>
      </c>
      <c r="C173" s="19">
        <f>IF(A173="","",'Our DOs'!C165)</f>
      </c>
      <c r="D173" s="19">
        <f>IF(A173="","",'Our DOs'!D165)</f>
      </c>
      <c r="E173" s="22">
        <f>IF(A173="","",'Our DOs'!E165)</f>
      </c>
      <c r="F173" s="22">
        <f>IF(A173="","",'Our DOs'!F165)</f>
      </c>
      <c r="G173" s="22">
        <f>IF(OR(A173="",B173=""),"",IFERROR(INDEX('Their statement'!$D$2:$D$201,MATCH(B173,'Their statement'!$A$2:$A$201,0)),""))</f>
      </c>
      <c r="H173" s="22">
        <f>IF(OR(A173="",B173=""),"",IFERROR(INDEX('Their statement'!$E$2:$E$201,MATCH(B173,'Their statement'!$A$2:$A$201,0)),""))</f>
      </c>
      <c r="I173" s="19">
        <f>IF(A173="","",IF(B173="","No PO yet",IF(ISNUMBER(MATCH(B173,'Their statement'!$A$2:$A$201,0)),IF(AND(ROUND(F173-IF(H173="",0,H173),2)=0,OR(G173="",ROUND(E173-IF(G173="",0,G173),2)=0)),"Matches","Differs"),"Missing")))</f>
      </c>
      <c r="J173" s="22">
        <f>IF(OR(I173="Missing",I173="Differs"),F173-IF(H173="",0,H173),"")</f>
      </c>
      <c r="K173" s="10"/>
      <c r="L173" s="23">
        <f>IF(N173=1,SUM($N$10:N173),"")</f>
      </c>
      <c r="M173" s="24">
        <f>IF(N173=1,"Customer PO "&amp;B173&amp;" · "&amp;C173&amp;" · case "&amp;D173&amp;CHAR(10)&amp;"Sales "&amp;DOLLAR(E173,2)&amp;" · commission "&amp;DOLLAR(F173,2)&amp;CHAR(10)&amp;IF(I173="Missing","Not on your "&amp;Setup!$B$5&amp;" commission statement.","Your statement shows commission "&amp;DOLLAR(IF(H173="",0,H173),2)&amp;" (ours "&amp;DOLLAR(F173,2)&amp;")"&amp;IF(AND(G173&lt;&gt;"",ROUND(E173-IF(G173="",0,G173),2)&lt;&gt;0),"; sales price "&amp;DOLLAR(IF(G173="",0,G173),2)&amp;" (ours "&amp;DOLLAR(E173,2)&amp;")","")&amp;".")&amp;CHAR(10)&amp;IF('Our DOs'!G165&lt;&gt;"","We sent this Delivery Order"&amp;IF('Our DOs'!I165="Yes",", with the hospital's purchase order number,","")&amp;" on "&amp;'Our DOs'!G165&amp;IF('Our DOs'!H165&lt;&gt;""," by "&amp;LOWER('Our DOs'!H165),"")&amp;". The Delivery Order is available on request.","The Delivery Order is available on request."),"")</f>
      </c>
      <c r="N173" s="25">
        <f>IF(AND(OR(I173="Missing",I173="Differs"),K173&lt;&gt;"No"),1,0)</f>
      </c>
    </row>
    <row r="174" spans="1:14" x14ac:dyDescent="0.25">
      <c r="A174" s="19">
        <f>IF('Our DOs'!A166="","",'Our DOs'!A166)</f>
      </c>
      <c r="B174" s="19">
        <f>IF(A174="","",'Our DOs'!B166)</f>
      </c>
      <c r="C174" s="19">
        <f>IF(A174="","",'Our DOs'!C166)</f>
      </c>
      <c r="D174" s="19">
        <f>IF(A174="","",'Our DOs'!D166)</f>
      </c>
      <c r="E174" s="22">
        <f>IF(A174="","",'Our DOs'!E166)</f>
      </c>
      <c r="F174" s="22">
        <f>IF(A174="","",'Our DOs'!F166)</f>
      </c>
      <c r="G174" s="22">
        <f>IF(OR(A174="",B174=""),"",IFERROR(INDEX('Their statement'!$D$2:$D$201,MATCH(B174,'Their statement'!$A$2:$A$201,0)),""))</f>
      </c>
      <c r="H174" s="22">
        <f>IF(OR(A174="",B174=""),"",IFERROR(INDEX('Their statement'!$E$2:$E$201,MATCH(B174,'Their statement'!$A$2:$A$201,0)),""))</f>
      </c>
      <c r="I174" s="19">
        <f>IF(A174="","",IF(B174="","No PO yet",IF(ISNUMBER(MATCH(B174,'Their statement'!$A$2:$A$201,0)),IF(AND(ROUND(F174-IF(H174="",0,H174),2)=0,OR(G174="",ROUND(E174-IF(G174="",0,G174),2)=0)),"Matches","Differs"),"Missing")))</f>
      </c>
      <c r="J174" s="22">
        <f>IF(OR(I174="Missing",I174="Differs"),F174-IF(H174="",0,H174),"")</f>
      </c>
      <c r="K174" s="10"/>
      <c r="L174" s="23">
        <f>IF(N174=1,SUM($N$10:N174),"")</f>
      </c>
      <c r="M174" s="24">
        <f>IF(N174=1,"Customer PO "&amp;B174&amp;" · "&amp;C174&amp;" · case "&amp;D174&amp;CHAR(10)&amp;"Sales "&amp;DOLLAR(E174,2)&amp;" · commission "&amp;DOLLAR(F174,2)&amp;CHAR(10)&amp;IF(I174="Missing","Not on your "&amp;Setup!$B$5&amp;" commission statement.","Your statement shows commission "&amp;DOLLAR(IF(H174="",0,H174),2)&amp;" (ours "&amp;DOLLAR(F174,2)&amp;")"&amp;IF(AND(G174&lt;&gt;"",ROUND(E174-IF(G174="",0,G174),2)&lt;&gt;0),"; sales price "&amp;DOLLAR(IF(G174="",0,G174),2)&amp;" (ours "&amp;DOLLAR(E174,2)&amp;")","")&amp;".")&amp;CHAR(10)&amp;IF('Our DOs'!G166&lt;&gt;"","We sent this Delivery Order"&amp;IF('Our DOs'!I166="Yes",", with the hospital's purchase order number,","")&amp;" on "&amp;'Our DOs'!G166&amp;IF('Our DOs'!H166&lt;&gt;""," by "&amp;LOWER('Our DOs'!H166),"")&amp;". The Delivery Order is available on request.","The Delivery Order is available on request."),"")</f>
      </c>
      <c r="N174" s="25">
        <f>IF(AND(OR(I174="Missing",I174="Differs"),K174&lt;&gt;"No"),1,0)</f>
      </c>
    </row>
    <row r="175" spans="1:14" x14ac:dyDescent="0.25">
      <c r="A175" s="19">
        <f>IF('Our DOs'!A167="","",'Our DOs'!A167)</f>
      </c>
      <c r="B175" s="19">
        <f>IF(A175="","",'Our DOs'!B167)</f>
      </c>
      <c r="C175" s="19">
        <f>IF(A175="","",'Our DOs'!C167)</f>
      </c>
      <c r="D175" s="19">
        <f>IF(A175="","",'Our DOs'!D167)</f>
      </c>
      <c r="E175" s="22">
        <f>IF(A175="","",'Our DOs'!E167)</f>
      </c>
      <c r="F175" s="22">
        <f>IF(A175="","",'Our DOs'!F167)</f>
      </c>
      <c r="G175" s="22">
        <f>IF(OR(A175="",B175=""),"",IFERROR(INDEX('Their statement'!$D$2:$D$201,MATCH(B175,'Their statement'!$A$2:$A$201,0)),""))</f>
      </c>
      <c r="H175" s="22">
        <f>IF(OR(A175="",B175=""),"",IFERROR(INDEX('Their statement'!$E$2:$E$201,MATCH(B175,'Their statement'!$A$2:$A$201,0)),""))</f>
      </c>
      <c r="I175" s="19">
        <f>IF(A175="","",IF(B175="","No PO yet",IF(ISNUMBER(MATCH(B175,'Their statement'!$A$2:$A$201,0)),IF(AND(ROUND(F175-IF(H175="",0,H175),2)=0,OR(G175="",ROUND(E175-IF(G175="",0,G175),2)=0)),"Matches","Differs"),"Missing")))</f>
      </c>
      <c r="J175" s="22">
        <f>IF(OR(I175="Missing",I175="Differs"),F175-IF(H175="",0,H175),"")</f>
      </c>
      <c r="K175" s="10"/>
      <c r="L175" s="23">
        <f>IF(N175=1,SUM($N$10:N175),"")</f>
      </c>
      <c r="M175" s="24">
        <f>IF(N175=1,"Customer PO "&amp;B175&amp;" · "&amp;C175&amp;" · case "&amp;D175&amp;CHAR(10)&amp;"Sales "&amp;DOLLAR(E175,2)&amp;" · commission "&amp;DOLLAR(F175,2)&amp;CHAR(10)&amp;IF(I175="Missing","Not on your "&amp;Setup!$B$5&amp;" commission statement.","Your statement shows commission "&amp;DOLLAR(IF(H175="",0,H175),2)&amp;" (ours "&amp;DOLLAR(F175,2)&amp;")"&amp;IF(AND(G175&lt;&gt;"",ROUND(E175-IF(G175="",0,G175),2)&lt;&gt;0),"; sales price "&amp;DOLLAR(IF(G175="",0,G175),2)&amp;" (ours "&amp;DOLLAR(E175,2)&amp;")","")&amp;".")&amp;CHAR(10)&amp;IF('Our DOs'!G167&lt;&gt;"","We sent this Delivery Order"&amp;IF('Our DOs'!I167="Yes",", with the hospital's purchase order number,","")&amp;" on "&amp;'Our DOs'!G167&amp;IF('Our DOs'!H167&lt;&gt;""," by "&amp;LOWER('Our DOs'!H167),"")&amp;". The Delivery Order is available on request.","The Delivery Order is available on request."),"")</f>
      </c>
      <c r="N175" s="25">
        <f>IF(AND(OR(I175="Missing",I175="Differs"),K175&lt;&gt;"No"),1,0)</f>
      </c>
    </row>
    <row r="176" spans="1:14" x14ac:dyDescent="0.25">
      <c r="A176" s="19">
        <f>IF('Our DOs'!A168="","",'Our DOs'!A168)</f>
      </c>
      <c r="B176" s="19">
        <f>IF(A176="","",'Our DOs'!B168)</f>
      </c>
      <c r="C176" s="19">
        <f>IF(A176="","",'Our DOs'!C168)</f>
      </c>
      <c r="D176" s="19">
        <f>IF(A176="","",'Our DOs'!D168)</f>
      </c>
      <c r="E176" s="22">
        <f>IF(A176="","",'Our DOs'!E168)</f>
      </c>
      <c r="F176" s="22">
        <f>IF(A176="","",'Our DOs'!F168)</f>
      </c>
      <c r="G176" s="22">
        <f>IF(OR(A176="",B176=""),"",IFERROR(INDEX('Their statement'!$D$2:$D$201,MATCH(B176,'Their statement'!$A$2:$A$201,0)),""))</f>
      </c>
      <c r="H176" s="22">
        <f>IF(OR(A176="",B176=""),"",IFERROR(INDEX('Their statement'!$E$2:$E$201,MATCH(B176,'Their statement'!$A$2:$A$201,0)),""))</f>
      </c>
      <c r="I176" s="19">
        <f>IF(A176="","",IF(B176="","No PO yet",IF(ISNUMBER(MATCH(B176,'Their statement'!$A$2:$A$201,0)),IF(AND(ROUND(F176-IF(H176="",0,H176),2)=0,OR(G176="",ROUND(E176-IF(G176="",0,G176),2)=0)),"Matches","Differs"),"Missing")))</f>
      </c>
      <c r="J176" s="22">
        <f>IF(OR(I176="Missing",I176="Differs"),F176-IF(H176="",0,H176),"")</f>
      </c>
      <c r="K176" s="10"/>
      <c r="L176" s="23">
        <f>IF(N176=1,SUM($N$10:N176),"")</f>
      </c>
      <c r="M176" s="24">
        <f>IF(N176=1,"Customer PO "&amp;B176&amp;" · "&amp;C176&amp;" · case "&amp;D176&amp;CHAR(10)&amp;"Sales "&amp;DOLLAR(E176,2)&amp;" · commission "&amp;DOLLAR(F176,2)&amp;CHAR(10)&amp;IF(I176="Missing","Not on your "&amp;Setup!$B$5&amp;" commission statement.","Your statement shows commission "&amp;DOLLAR(IF(H176="",0,H176),2)&amp;" (ours "&amp;DOLLAR(F176,2)&amp;")"&amp;IF(AND(G176&lt;&gt;"",ROUND(E176-IF(G176="",0,G176),2)&lt;&gt;0),"; sales price "&amp;DOLLAR(IF(G176="",0,G176),2)&amp;" (ours "&amp;DOLLAR(E176,2)&amp;")","")&amp;".")&amp;CHAR(10)&amp;IF('Our DOs'!G168&lt;&gt;"","We sent this Delivery Order"&amp;IF('Our DOs'!I168="Yes",", with the hospital's purchase order number,","")&amp;" on "&amp;'Our DOs'!G168&amp;IF('Our DOs'!H168&lt;&gt;""," by "&amp;LOWER('Our DOs'!H168),"")&amp;". The Delivery Order is available on request.","The Delivery Order is available on request."),"")</f>
      </c>
      <c r="N176" s="25">
        <f>IF(AND(OR(I176="Missing",I176="Differs"),K176&lt;&gt;"No"),1,0)</f>
      </c>
    </row>
    <row r="177" spans="1:14" x14ac:dyDescent="0.25">
      <c r="A177" s="19">
        <f>IF('Our DOs'!A169="","",'Our DOs'!A169)</f>
      </c>
      <c r="B177" s="19">
        <f>IF(A177="","",'Our DOs'!B169)</f>
      </c>
      <c r="C177" s="19">
        <f>IF(A177="","",'Our DOs'!C169)</f>
      </c>
      <c r="D177" s="19">
        <f>IF(A177="","",'Our DOs'!D169)</f>
      </c>
      <c r="E177" s="22">
        <f>IF(A177="","",'Our DOs'!E169)</f>
      </c>
      <c r="F177" s="22">
        <f>IF(A177="","",'Our DOs'!F169)</f>
      </c>
      <c r="G177" s="22">
        <f>IF(OR(A177="",B177=""),"",IFERROR(INDEX('Their statement'!$D$2:$D$201,MATCH(B177,'Their statement'!$A$2:$A$201,0)),""))</f>
      </c>
      <c r="H177" s="22">
        <f>IF(OR(A177="",B177=""),"",IFERROR(INDEX('Their statement'!$E$2:$E$201,MATCH(B177,'Their statement'!$A$2:$A$201,0)),""))</f>
      </c>
      <c r="I177" s="19">
        <f>IF(A177="","",IF(B177="","No PO yet",IF(ISNUMBER(MATCH(B177,'Their statement'!$A$2:$A$201,0)),IF(AND(ROUND(F177-IF(H177="",0,H177),2)=0,OR(G177="",ROUND(E177-IF(G177="",0,G177),2)=0)),"Matches","Differs"),"Missing")))</f>
      </c>
      <c r="J177" s="22">
        <f>IF(OR(I177="Missing",I177="Differs"),F177-IF(H177="",0,H177),"")</f>
      </c>
      <c r="K177" s="10"/>
      <c r="L177" s="23">
        <f>IF(N177=1,SUM($N$10:N177),"")</f>
      </c>
      <c r="M177" s="24">
        <f>IF(N177=1,"Customer PO "&amp;B177&amp;" · "&amp;C177&amp;" · case "&amp;D177&amp;CHAR(10)&amp;"Sales "&amp;DOLLAR(E177,2)&amp;" · commission "&amp;DOLLAR(F177,2)&amp;CHAR(10)&amp;IF(I177="Missing","Not on your "&amp;Setup!$B$5&amp;" commission statement.","Your statement shows commission "&amp;DOLLAR(IF(H177="",0,H177),2)&amp;" (ours "&amp;DOLLAR(F177,2)&amp;")"&amp;IF(AND(G177&lt;&gt;"",ROUND(E177-IF(G177="",0,G177),2)&lt;&gt;0),"; sales price "&amp;DOLLAR(IF(G177="",0,G177),2)&amp;" (ours "&amp;DOLLAR(E177,2)&amp;")","")&amp;".")&amp;CHAR(10)&amp;IF('Our DOs'!G169&lt;&gt;"","We sent this Delivery Order"&amp;IF('Our DOs'!I169="Yes",", with the hospital's purchase order number,","")&amp;" on "&amp;'Our DOs'!G169&amp;IF('Our DOs'!H169&lt;&gt;""," by "&amp;LOWER('Our DOs'!H169),"")&amp;". The Delivery Order is available on request.","The Delivery Order is available on request."),"")</f>
      </c>
      <c r="N177" s="25">
        <f>IF(AND(OR(I177="Missing",I177="Differs"),K177&lt;&gt;"No"),1,0)</f>
      </c>
    </row>
    <row r="178" spans="1:14" x14ac:dyDescent="0.25">
      <c r="A178" s="19">
        <f>IF('Our DOs'!A170="","",'Our DOs'!A170)</f>
      </c>
      <c r="B178" s="19">
        <f>IF(A178="","",'Our DOs'!B170)</f>
      </c>
      <c r="C178" s="19">
        <f>IF(A178="","",'Our DOs'!C170)</f>
      </c>
      <c r="D178" s="19">
        <f>IF(A178="","",'Our DOs'!D170)</f>
      </c>
      <c r="E178" s="22">
        <f>IF(A178="","",'Our DOs'!E170)</f>
      </c>
      <c r="F178" s="22">
        <f>IF(A178="","",'Our DOs'!F170)</f>
      </c>
      <c r="G178" s="22">
        <f>IF(OR(A178="",B178=""),"",IFERROR(INDEX('Their statement'!$D$2:$D$201,MATCH(B178,'Their statement'!$A$2:$A$201,0)),""))</f>
      </c>
      <c r="H178" s="22">
        <f>IF(OR(A178="",B178=""),"",IFERROR(INDEX('Their statement'!$E$2:$E$201,MATCH(B178,'Their statement'!$A$2:$A$201,0)),""))</f>
      </c>
      <c r="I178" s="19">
        <f>IF(A178="","",IF(B178="","No PO yet",IF(ISNUMBER(MATCH(B178,'Their statement'!$A$2:$A$201,0)),IF(AND(ROUND(F178-IF(H178="",0,H178),2)=0,OR(G178="",ROUND(E178-IF(G178="",0,G178),2)=0)),"Matches","Differs"),"Missing")))</f>
      </c>
      <c r="J178" s="22">
        <f>IF(OR(I178="Missing",I178="Differs"),F178-IF(H178="",0,H178),"")</f>
      </c>
      <c r="K178" s="10"/>
      <c r="L178" s="23">
        <f>IF(N178=1,SUM($N$10:N178),"")</f>
      </c>
      <c r="M178" s="24">
        <f>IF(N178=1,"Customer PO "&amp;B178&amp;" · "&amp;C178&amp;" · case "&amp;D178&amp;CHAR(10)&amp;"Sales "&amp;DOLLAR(E178,2)&amp;" · commission "&amp;DOLLAR(F178,2)&amp;CHAR(10)&amp;IF(I178="Missing","Not on your "&amp;Setup!$B$5&amp;" commission statement.","Your statement shows commission "&amp;DOLLAR(IF(H178="",0,H178),2)&amp;" (ours "&amp;DOLLAR(F178,2)&amp;")"&amp;IF(AND(G178&lt;&gt;"",ROUND(E178-IF(G178="",0,G178),2)&lt;&gt;0),"; sales price "&amp;DOLLAR(IF(G178="",0,G178),2)&amp;" (ours "&amp;DOLLAR(E178,2)&amp;")","")&amp;".")&amp;CHAR(10)&amp;IF('Our DOs'!G170&lt;&gt;"","We sent this Delivery Order"&amp;IF('Our DOs'!I170="Yes",", with the hospital's purchase order number,","")&amp;" on "&amp;'Our DOs'!G170&amp;IF('Our DOs'!H170&lt;&gt;""," by "&amp;LOWER('Our DOs'!H170),"")&amp;". The Delivery Order is available on request.","The Delivery Order is available on request."),"")</f>
      </c>
      <c r="N178" s="25">
        <f>IF(AND(OR(I178="Missing",I178="Differs"),K178&lt;&gt;"No"),1,0)</f>
      </c>
    </row>
    <row r="179" spans="1:14" x14ac:dyDescent="0.25">
      <c r="A179" s="19">
        <f>IF('Our DOs'!A171="","",'Our DOs'!A171)</f>
      </c>
      <c r="B179" s="19">
        <f>IF(A179="","",'Our DOs'!B171)</f>
      </c>
      <c r="C179" s="19">
        <f>IF(A179="","",'Our DOs'!C171)</f>
      </c>
      <c r="D179" s="19">
        <f>IF(A179="","",'Our DOs'!D171)</f>
      </c>
      <c r="E179" s="22">
        <f>IF(A179="","",'Our DOs'!E171)</f>
      </c>
      <c r="F179" s="22">
        <f>IF(A179="","",'Our DOs'!F171)</f>
      </c>
      <c r="G179" s="22">
        <f>IF(OR(A179="",B179=""),"",IFERROR(INDEX('Their statement'!$D$2:$D$201,MATCH(B179,'Their statement'!$A$2:$A$201,0)),""))</f>
      </c>
      <c r="H179" s="22">
        <f>IF(OR(A179="",B179=""),"",IFERROR(INDEX('Their statement'!$E$2:$E$201,MATCH(B179,'Their statement'!$A$2:$A$201,0)),""))</f>
      </c>
      <c r="I179" s="19">
        <f>IF(A179="","",IF(B179="","No PO yet",IF(ISNUMBER(MATCH(B179,'Their statement'!$A$2:$A$201,0)),IF(AND(ROUND(F179-IF(H179="",0,H179),2)=0,OR(G179="",ROUND(E179-IF(G179="",0,G179),2)=0)),"Matches","Differs"),"Missing")))</f>
      </c>
      <c r="J179" s="22">
        <f>IF(OR(I179="Missing",I179="Differs"),F179-IF(H179="",0,H179),"")</f>
      </c>
      <c r="K179" s="10"/>
      <c r="L179" s="23">
        <f>IF(N179=1,SUM($N$10:N179),"")</f>
      </c>
      <c r="M179" s="24">
        <f>IF(N179=1,"Customer PO "&amp;B179&amp;" · "&amp;C179&amp;" · case "&amp;D179&amp;CHAR(10)&amp;"Sales "&amp;DOLLAR(E179,2)&amp;" · commission "&amp;DOLLAR(F179,2)&amp;CHAR(10)&amp;IF(I179="Missing","Not on your "&amp;Setup!$B$5&amp;" commission statement.","Your statement shows commission "&amp;DOLLAR(IF(H179="",0,H179),2)&amp;" (ours "&amp;DOLLAR(F179,2)&amp;")"&amp;IF(AND(G179&lt;&gt;"",ROUND(E179-IF(G179="",0,G179),2)&lt;&gt;0),"; sales price "&amp;DOLLAR(IF(G179="",0,G179),2)&amp;" (ours "&amp;DOLLAR(E179,2)&amp;")","")&amp;".")&amp;CHAR(10)&amp;IF('Our DOs'!G171&lt;&gt;"","We sent this Delivery Order"&amp;IF('Our DOs'!I171="Yes",", with the hospital's purchase order number,","")&amp;" on "&amp;'Our DOs'!G171&amp;IF('Our DOs'!H171&lt;&gt;""," by "&amp;LOWER('Our DOs'!H171),"")&amp;". The Delivery Order is available on request.","The Delivery Order is available on request."),"")</f>
      </c>
      <c r="N179" s="25">
        <f>IF(AND(OR(I179="Missing",I179="Differs"),K179&lt;&gt;"No"),1,0)</f>
      </c>
    </row>
    <row r="180" spans="1:14" x14ac:dyDescent="0.25">
      <c r="A180" s="19">
        <f>IF('Our DOs'!A172="","",'Our DOs'!A172)</f>
      </c>
      <c r="B180" s="19">
        <f>IF(A180="","",'Our DOs'!B172)</f>
      </c>
      <c r="C180" s="19">
        <f>IF(A180="","",'Our DOs'!C172)</f>
      </c>
      <c r="D180" s="19">
        <f>IF(A180="","",'Our DOs'!D172)</f>
      </c>
      <c r="E180" s="22">
        <f>IF(A180="","",'Our DOs'!E172)</f>
      </c>
      <c r="F180" s="22">
        <f>IF(A180="","",'Our DOs'!F172)</f>
      </c>
      <c r="G180" s="22">
        <f>IF(OR(A180="",B180=""),"",IFERROR(INDEX('Their statement'!$D$2:$D$201,MATCH(B180,'Their statement'!$A$2:$A$201,0)),""))</f>
      </c>
      <c r="H180" s="22">
        <f>IF(OR(A180="",B180=""),"",IFERROR(INDEX('Their statement'!$E$2:$E$201,MATCH(B180,'Their statement'!$A$2:$A$201,0)),""))</f>
      </c>
      <c r="I180" s="19">
        <f>IF(A180="","",IF(B180="","No PO yet",IF(ISNUMBER(MATCH(B180,'Their statement'!$A$2:$A$201,0)),IF(AND(ROUND(F180-IF(H180="",0,H180),2)=0,OR(G180="",ROUND(E180-IF(G180="",0,G180),2)=0)),"Matches","Differs"),"Missing")))</f>
      </c>
      <c r="J180" s="22">
        <f>IF(OR(I180="Missing",I180="Differs"),F180-IF(H180="",0,H180),"")</f>
      </c>
      <c r="K180" s="10"/>
      <c r="L180" s="23">
        <f>IF(N180=1,SUM($N$10:N180),"")</f>
      </c>
      <c r="M180" s="24">
        <f>IF(N180=1,"Customer PO "&amp;B180&amp;" · "&amp;C180&amp;" · case "&amp;D180&amp;CHAR(10)&amp;"Sales "&amp;DOLLAR(E180,2)&amp;" · commission "&amp;DOLLAR(F180,2)&amp;CHAR(10)&amp;IF(I180="Missing","Not on your "&amp;Setup!$B$5&amp;" commission statement.","Your statement shows commission "&amp;DOLLAR(IF(H180="",0,H180),2)&amp;" (ours "&amp;DOLLAR(F180,2)&amp;")"&amp;IF(AND(G180&lt;&gt;"",ROUND(E180-IF(G180="",0,G180),2)&lt;&gt;0),"; sales price "&amp;DOLLAR(IF(G180="",0,G180),2)&amp;" (ours "&amp;DOLLAR(E180,2)&amp;")","")&amp;".")&amp;CHAR(10)&amp;IF('Our DOs'!G172&lt;&gt;"","We sent this Delivery Order"&amp;IF('Our DOs'!I172="Yes",", with the hospital's purchase order number,","")&amp;" on "&amp;'Our DOs'!G172&amp;IF('Our DOs'!H172&lt;&gt;""," by "&amp;LOWER('Our DOs'!H172),"")&amp;". The Delivery Order is available on request.","The Delivery Order is available on request."),"")</f>
      </c>
      <c r="N180" s="25">
        <f>IF(AND(OR(I180="Missing",I180="Differs"),K180&lt;&gt;"No"),1,0)</f>
      </c>
    </row>
    <row r="181" spans="1:14" x14ac:dyDescent="0.25">
      <c r="A181" s="19">
        <f>IF('Our DOs'!A173="","",'Our DOs'!A173)</f>
      </c>
      <c r="B181" s="19">
        <f>IF(A181="","",'Our DOs'!B173)</f>
      </c>
      <c r="C181" s="19">
        <f>IF(A181="","",'Our DOs'!C173)</f>
      </c>
      <c r="D181" s="19">
        <f>IF(A181="","",'Our DOs'!D173)</f>
      </c>
      <c r="E181" s="22">
        <f>IF(A181="","",'Our DOs'!E173)</f>
      </c>
      <c r="F181" s="22">
        <f>IF(A181="","",'Our DOs'!F173)</f>
      </c>
      <c r="G181" s="22">
        <f>IF(OR(A181="",B181=""),"",IFERROR(INDEX('Their statement'!$D$2:$D$201,MATCH(B181,'Their statement'!$A$2:$A$201,0)),""))</f>
      </c>
      <c r="H181" s="22">
        <f>IF(OR(A181="",B181=""),"",IFERROR(INDEX('Their statement'!$E$2:$E$201,MATCH(B181,'Their statement'!$A$2:$A$201,0)),""))</f>
      </c>
      <c r="I181" s="19">
        <f>IF(A181="","",IF(B181="","No PO yet",IF(ISNUMBER(MATCH(B181,'Their statement'!$A$2:$A$201,0)),IF(AND(ROUND(F181-IF(H181="",0,H181),2)=0,OR(G181="",ROUND(E181-IF(G181="",0,G181),2)=0)),"Matches","Differs"),"Missing")))</f>
      </c>
      <c r="J181" s="22">
        <f>IF(OR(I181="Missing",I181="Differs"),F181-IF(H181="",0,H181),"")</f>
      </c>
      <c r="K181" s="10"/>
      <c r="L181" s="23">
        <f>IF(N181=1,SUM($N$10:N181),"")</f>
      </c>
      <c r="M181" s="24">
        <f>IF(N181=1,"Customer PO "&amp;B181&amp;" · "&amp;C181&amp;" · case "&amp;D181&amp;CHAR(10)&amp;"Sales "&amp;DOLLAR(E181,2)&amp;" · commission "&amp;DOLLAR(F181,2)&amp;CHAR(10)&amp;IF(I181="Missing","Not on your "&amp;Setup!$B$5&amp;" commission statement.","Your statement shows commission "&amp;DOLLAR(IF(H181="",0,H181),2)&amp;" (ours "&amp;DOLLAR(F181,2)&amp;")"&amp;IF(AND(G181&lt;&gt;"",ROUND(E181-IF(G181="",0,G181),2)&lt;&gt;0),"; sales price "&amp;DOLLAR(IF(G181="",0,G181),2)&amp;" (ours "&amp;DOLLAR(E181,2)&amp;")","")&amp;".")&amp;CHAR(10)&amp;IF('Our DOs'!G173&lt;&gt;"","We sent this Delivery Order"&amp;IF('Our DOs'!I173="Yes",", with the hospital's purchase order number,","")&amp;" on "&amp;'Our DOs'!G173&amp;IF('Our DOs'!H173&lt;&gt;""," by "&amp;LOWER('Our DOs'!H173),"")&amp;". The Delivery Order is available on request.","The Delivery Order is available on request."),"")</f>
      </c>
      <c r="N181" s="25">
        <f>IF(AND(OR(I181="Missing",I181="Differs"),K181&lt;&gt;"No"),1,0)</f>
      </c>
    </row>
    <row r="182" spans="1:14" x14ac:dyDescent="0.25">
      <c r="A182" s="19">
        <f>IF('Our DOs'!A174="","",'Our DOs'!A174)</f>
      </c>
      <c r="B182" s="19">
        <f>IF(A182="","",'Our DOs'!B174)</f>
      </c>
      <c r="C182" s="19">
        <f>IF(A182="","",'Our DOs'!C174)</f>
      </c>
      <c r="D182" s="19">
        <f>IF(A182="","",'Our DOs'!D174)</f>
      </c>
      <c r="E182" s="22">
        <f>IF(A182="","",'Our DOs'!E174)</f>
      </c>
      <c r="F182" s="22">
        <f>IF(A182="","",'Our DOs'!F174)</f>
      </c>
      <c r="G182" s="22">
        <f>IF(OR(A182="",B182=""),"",IFERROR(INDEX('Their statement'!$D$2:$D$201,MATCH(B182,'Their statement'!$A$2:$A$201,0)),""))</f>
      </c>
      <c r="H182" s="22">
        <f>IF(OR(A182="",B182=""),"",IFERROR(INDEX('Their statement'!$E$2:$E$201,MATCH(B182,'Their statement'!$A$2:$A$201,0)),""))</f>
      </c>
      <c r="I182" s="19">
        <f>IF(A182="","",IF(B182="","No PO yet",IF(ISNUMBER(MATCH(B182,'Their statement'!$A$2:$A$201,0)),IF(AND(ROUND(F182-IF(H182="",0,H182),2)=0,OR(G182="",ROUND(E182-IF(G182="",0,G182),2)=0)),"Matches","Differs"),"Missing")))</f>
      </c>
      <c r="J182" s="22">
        <f>IF(OR(I182="Missing",I182="Differs"),F182-IF(H182="",0,H182),"")</f>
      </c>
      <c r="K182" s="10"/>
      <c r="L182" s="23">
        <f>IF(N182=1,SUM($N$10:N182),"")</f>
      </c>
      <c r="M182" s="24">
        <f>IF(N182=1,"Customer PO "&amp;B182&amp;" · "&amp;C182&amp;" · case "&amp;D182&amp;CHAR(10)&amp;"Sales "&amp;DOLLAR(E182,2)&amp;" · commission "&amp;DOLLAR(F182,2)&amp;CHAR(10)&amp;IF(I182="Missing","Not on your "&amp;Setup!$B$5&amp;" commission statement.","Your statement shows commission "&amp;DOLLAR(IF(H182="",0,H182),2)&amp;" (ours "&amp;DOLLAR(F182,2)&amp;")"&amp;IF(AND(G182&lt;&gt;"",ROUND(E182-IF(G182="",0,G182),2)&lt;&gt;0),"; sales price "&amp;DOLLAR(IF(G182="",0,G182),2)&amp;" (ours "&amp;DOLLAR(E182,2)&amp;")","")&amp;".")&amp;CHAR(10)&amp;IF('Our DOs'!G174&lt;&gt;"","We sent this Delivery Order"&amp;IF('Our DOs'!I174="Yes",", with the hospital's purchase order number,","")&amp;" on "&amp;'Our DOs'!G174&amp;IF('Our DOs'!H174&lt;&gt;""," by "&amp;LOWER('Our DOs'!H174),"")&amp;". The Delivery Order is available on request.","The Delivery Order is available on request."),"")</f>
      </c>
      <c r="N182" s="25">
        <f>IF(AND(OR(I182="Missing",I182="Differs"),K182&lt;&gt;"No"),1,0)</f>
      </c>
    </row>
    <row r="183" spans="1:14" x14ac:dyDescent="0.25">
      <c r="A183" s="19">
        <f>IF('Our DOs'!A175="","",'Our DOs'!A175)</f>
      </c>
      <c r="B183" s="19">
        <f>IF(A183="","",'Our DOs'!B175)</f>
      </c>
      <c r="C183" s="19">
        <f>IF(A183="","",'Our DOs'!C175)</f>
      </c>
      <c r="D183" s="19">
        <f>IF(A183="","",'Our DOs'!D175)</f>
      </c>
      <c r="E183" s="22">
        <f>IF(A183="","",'Our DOs'!E175)</f>
      </c>
      <c r="F183" s="22">
        <f>IF(A183="","",'Our DOs'!F175)</f>
      </c>
      <c r="G183" s="22">
        <f>IF(OR(A183="",B183=""),"",IFERROR(INDEX('Their statement'!$D$2:$D$201,MATCH(B183,'Their statement'!$A$2:$A$201,0)),""))</f>
      </c>
      <c r="H183" s="22">
        <f>IF(OR(A183="",B183=""),"",IFERROR(INDEX('Their statement'!$E$2:$E$201,MATCH(B183,'Their statement'!$A$2:$A$201,0)),""))</f>
      </c>
      <c r="I183" s="19">
        <f>IF(A183="","",IF(B183="","No PO yet",IF(ISNUMBER(MATCH(B183,'Their statement'!$A$2:$A$201,0)),IF(AND(ROUND(F183-IF(H183="",0,H183),2)=0,OR(G183="",ROUND(E183-IF(G183="",0,G183),2)=0)),"Matches","Differs"),"Missing")))</f>
      </c>
      <c r="J183" s="22">
        <f>IF(OR(I183="Missing",I183="Differs"),F183-IF(H183="",0,H183),"")</f>
      </c>
      <c r="K183" s="10"/>
      <c r="L183" s="23">
        <f>IF(N183=1,SUM($N$10:N183),"")</f>
      </c>
      <c r="M183" s="24">
        <f>IF(N183=1,"Customer PO "&amp;B183&amp;" · "&amp;C183&amp;" · case "&amp;D183&amp;CHAR(10)&amp;"Sales "&amp;DOLLAR(E183,2)&amp;" · commission "&amp;DOLLAR(F183,2)&amp;CHAR(10)&amp;IF(I183="Missing","Not on your "&amp;Setup!$B$5&amp;" commission statement.","Your statement shows commission "&amp;DOLLAR(IF(H183="",0,H183),2)&amp;" (ours "&amp;DOLLAR(F183,2)&amp;")"&amp;IF(AND(G183&lt;&gt;"",ROUND(E183-IF(G183="",0,G183),2)&lt;&gt;0),"; sales price "&amp;DOLLAR(IF(G183="",0,G183),2)&amp;" (ours "&amp;DOLLAR(E183,2)&amp;")","")&amp;".")&amp;CHAR(10)&amp;IF('Our DOs'!G175&lt;&gt;"","We sent this Delivery Order"&amp;IF('Our DOs'!I175="Yes",", with the hospital's purchase order number,","")&amp;" on "&amp;'Our DOs'!G175&amp;IF('Our DOs'!H175&lt;&gt;""," by "&amp;LOWER('Our DOs'!H175),"")&amp;". The Delivery Order is available on request.","The Delivery Order is available on request."),"")</f>
      </c>
      <c r="N183" s="25">
        <f>IF(AND(OR(I183="Missing",I183="Differs"),K183&lt;&gt;"No"),1,0)</f>
      </c>
    </row>
    <row r="184" spans="1:14" x14ac:dyDescent="0.25">
      <c r="A184" s="19">
        <f>IF('Our DOs'!A176="","",'Our DOs'!A176)</f>
      </c>
      <c r="B184" s="19">
        <f>IF(A184="","",'Our DOs'!B176)</f>
      </c>
      <c r="C184" s="19">
        <f>IF(A184="","",'Our DOs'!C176)</f>
      </c>
      <c r="D184" s="19">
        <f>IF(A184="","",'Our DOs'!D176)</f>
      </c>
      <c r="E184" s="22">
        <f>IF(A184="","",'Our DOs'!E176)</f>
      </c>
      <c r="F184" s="22">
        <f>IF(A184="","",'Our DOs'!F176)</f>
      </c>
      <c r="G184" s="22">
        <f>IF(OR(A184="",B184=""),"",IFERROR(INDEX('Their statement'!$D$2:$D$201,MATCH(B184,'Their statement'!$A$2:$A$201,0)),""))</f>
      </c>
      <c r="H184" s="22">
        <f>IF(OR(A184="",B184=""),"",IFERROR(INDEX('Their statement'!$E$2:$E$201,MATCH(B184,'Their statement'!$A$2:$A$201,0)),""))</f>
      </c>
      <c r="I184" s="19">
        <f>IF(A184="","",IF(B184="","No PO yet",IF(ISNUMBER(MATCH(B184,'Their statement'!$A$2:$A$201,0)),IF(AND(ROUND(F184-IF(H184="",0,H184),2)=0,OR(G184="",ROUND(E184-IF(G184="",0,G184),2)=0)),"Matches","Differs"),"Missing")))</f>
      </c>
      <c r="J184" s="22">
        <f>IF(OR(I184="Missing",I184="Differs"),F184-IF(H184="",0,H184),"")</f>
      </c>
      <c r="K184" s="10"/>
      <c r="L184" s="23">
        <f>IF(N184=1,SUM($N$10:N184),"")</f>
      </c>
      <c r="M184" s="24">
        <f>IF(N184=1,"Customer PO "&amp;B184&amp;" · "&amp;C184&amp;" · case "&amp;D184&amp;CHAR(10)&amp;"Sales "&amp;DOLLAR(E184,2)&amp;" · commission "&amp;DOLLAR(F184,2)&amp;CHAR(10)&amp;IF(I184="Missing","Not on your "&amp;Setup!$B$5&amp;" commission statement.","Your statement shows commission "&amp;DOLLAR(IF(H184="",0,H184),2)&amp;" (ours "&amp;DOLLAR(F184,2)&amp;")"&amp;IF(AND(G184&lt;&gt;"",ROUND(E184-IF(G184="",0,G184),2)&lt;&gt;0),"; sales price "&amp;DOLLAR(IF(G184="",0,G184),2)&amp;" (ours "&amp;DOLLAR(E184,2)&amp;")","")&amp;".")&amp;CHAR(10)&amp;IF('Our DOs'!G176&lt;&gt;"","We sent this Delivery Order"&amp;IF('Our DOs'!I176="Yes",", with the hospital's purchase order number,","")&amp;" on "&amp;'Our DOs'!G176&amp;IF('Our DOs'!H176&lt;&gt;""," by "&amp;LOWER('Our DOs'!H176),"")&amp;". The Delivery Order is available on request.","The Delivery Order is available on request."),"")</f>
      </c>
      <c r="N184" s="25">
        <f>IF(AND(OR(I184="Missing",I184="Differs"),K184&lt;&gt;"No"),1,0)</f>
      </c>
    </row>
    <row r="185" spans="1:14" x14ac:dyDescent="0.25">
      <c r="A185" s="19">
        <f>IF('Our DOs'!A177="","",'Our DOs'!A177)</f>
      </c>
      <c r="B185" s="19">
        <f>IF(A185="","",'Our DOs'!B177)</f>
      </c>
      <c r="C185" s="19">
        <f>IF(A185="","",'Our DOs'!C177)</f>
      </c>
      <c r="D185" s="19">
        <f>IF(A185="","",'Our DOs'!D177)</f>
      </c>
      <c r="E185" s="22">
        <f>IF(A185="","",'Our DOs'!E177)</f>
      </c>
      <c r="F185" s="22">
        <f>IF(A185="","",'Our DOs'!F177)</f>
      </c>
      <c r="G185" s="22">
        <f>IF(OR(A185="",B185=""),"",IFERROR(INDEX('Their statement'!$D$2:$D$201,MATCH(B185,'Their statement'!$A$2:$A$201,0)),""))</f>
      </c>
      <c r="H185" s="22">
        <f>IF(OR(A185="",B185=""),"",IFERROR(INDEX('Their statement'!$E$2:$E$201,MATCH(B185,'Their statement'!$A$2:$A$201,0)),""))</f>
      </c>
      <c r="I185" s="19">
        <f>IF(A185="","",IF(B185="","No PO yet",IF(ISNUMBER(MATCH(B185,'Their statement'!$A$2:$A$201,0)),IF(AND(ROUND(F185-IF(H185="",0,H185),2)=0,OR(G185="",ROUND(E185-IF(G185="",0,G185),2)=0)),"Matches","Differs"),"Missing")))</f>
      </c>
      <c r="J185" s="22">
        <f>IF(OR(I185="Missing",I185="Differs"),F185-IF(H185="",0,H185),"")</f>
      </c>
      <c r="K185" s="10"/>
      <c r="L185" s="23">
        <f>IF(N185=1,SUM($N$10:N185),"")</f>
      </c>
      <c r="M185" s="24">
        <f>IF(N185=1,"Customer PO "&amp;B185&amp;" · "&amp;C185&amp;" · case "&amp;D185&amp;CHAR(10)&amp;"Sales "&amp;DOLLAR(E185,2)&amp;" · commission "&amp;DOLLAR(F185,2)&amp;CHAR(10)&amp;IF(I185="Missing","Not on your "&amp;Setup!$B$5&amp;" commission statement.","Your statement shows commission "&amp;DOLLAR(IF(H185="",0,H185),2)&amp;" (ours "&amp;DOLLAR(F185,2)&amp;")"&amp;IF(AND(G185&lt;&gt;"",ROUND(E185-IF(G185="",0,G185),2)&lt;&gt;0),"; sales price "&amp;DOLLAR(IF(G185="",0,G185),2)&amp;" (ours "&amp;DOLLAR(E185,2)&amp;")","")&amp;".")&amp;CHAR(10)&amp;IF('Our DOs'!G177&lt;&gt;"","We sent this Delivery Order"&amp;IF('Our DOs'!I177="Yes",", with the hospital's purchase order number,","")&amp;" on "&amp;'Our DOs'!G177&amp;IF('Our DOs'!H177&lt;&gt;""," by "&amp;LOWER('Our DOs'!H177),"")&amp;". The Delivery Order is available on request.","The Delivery Order is available on request."),"")</f>
      </c>
      <c r="N185" s="25">
        <f>IF(AND(OR(I185="Missing",I185="Differs"),K185&lt;&gt;"No"),1,0)</f>
      </c>
    </row>
    <row r="186" spans="1:14" x14ac:dyDescent="0.25">
      <c r="A186" s="19">
        <f>IF('Our DOs'!A178="","",'Our DOs'!A178)</f>
      </c>
      <c r="B186" s="19">
        <f>IF(A186="","",'Our DOs'!B178)</f>
      </c>
      <c r="C186" s="19">
        <f>IF(A186="","",'Our DOs'!C178)</f>
      </c>
      <c r="D186" s="19">
        <f>IF(A186="","",'Our DOs'!D178)</f>
      </c>
      <c r="E186" s="22">
        <f>IF(A186="","",'Our DOs'!E178)</f>
      </c>
      <c r="F186" s="22">
        <f>IF(A186="","",'Our DOs'!F178)</f>
      </c>
      <c r="G186" s="22">
        <f>IF(OR(A186="",B186=""),"",IFERROR(INDEX('Their statement'!$D$2:$D$201,MATCH(B186,'Their statement'!$A$2:$A$201,0)),""))</f>
      </c>
      <c r="H186" s="22">
        <f>IF(OR(A186="",B186=""),"",IFERROR(INDEX('Their statement'!$E$2:$E$201,MATCH(B186,'Their statement'!$A$2:$A$201,0)),""))</f>
      </c>
      <c r="I186" s="19">
        <f>IF(A186="","",IF(B186="","No PO yet",IF(ISNUMBER(MATCH(B186,'Their statement'!$A$2:$A$201,0)),IF(AND(ROUND(F186-IF(H186="",0,H186),2)=0,OR(G186="",ROUND(E186-IF(G186="",0,G186),2)=0)),"Matches","Differs"),"Missing")))</f>
      </c>
      <c r="J186" s="22">
        <f>IF(OR(I186="Missing",I186="Differs"),F186-IF(H186="",0,H186),"")</f>
      </c>
      <c r="K186" s="10"/>
      <c r="L186" s="23">
        <f>IF(N186=1,SUM($N$10:N186),"")</f>
      </c>
      <c r="M186" s="24">
        <f>IF(N186=1,"Customer PO "&amp;B186&amp;" · "&amp;C186&amp;" · case "&amp;D186&amp;CHAR(10)&amp;"Sales "&amp;DOLLAR(E186,2)&amp;" · commission "&amp;DOLLAR(F186,2)&amp;CHAR(10)&amp;IF(I186="Missing","Not on your "&amp;Setup!$B$5&amp;" commission statement.","Your statement shows commission "&amp;DOLLAR(IF(H186="",0,H186),2)&amp;" (ours "&amp;DOLLAR(F186,2)&amp;")"&amp;IF(AND(G186&lt;&gt;"",ROUND(E186-IF(G186="",0,G186),2)&lt;&gt;0),"; sales price "&amp;DOLLAR(IF(G186="",0,G186),2)&amp;" (ours "&amp;DOLLAR(E186,2)&amp;")","")&amp;".")&amp;CHAR(10)&amp;IF('Our DOs'!G178&lt;&gt;"","We sent this Delivery Order"&amp;IF('Our DOs'!I178="Yes",", with the hospital's purchase order number,","")&amp;" on "&amp;'Our DOs'!G178&amp;IF('Our DOs'!H178&lt;&gt;""," by "&amp;LOWER('Our DOs'!H178),"")&amp;". The Delivery Order is available on request.","The Delivery Order is available on request."),"")</f>
      </c>
      <c r="N186" s="25">
        <f>IF(AND(OR(I186="Missing",I186="Differs"),K186&lt;&gt;"No"),1,0)</f>
      </c>
    </row>
    <row r="187" spans="1:14" x14ac:dyDescent="0.25">
      <c r="A187" s="19">
        <f>IF('Our DOs'!A179="","",'Our DOs'!A179)</f>
      </c>
      <c r="B187" s="19">
        <f>IF(A187="","",'Our DOs'!B179)</f>
      </c>
      <c r="C187" s="19">
        <f>IF(A187="","",'Our DOs'!C179)</f>
      </c>
      <c r="D187" s="19">
        <f>IF(A187="","",'Our DOs'!D179)</f>
      </c>
      <c r="E187" s="22">
        <f>IF(A187="","",'Our DOs'!E179)</f>
      </c>
      <c r="F187" s="22">
        <f>IF(A187="","",'Our DOs'!F179)</f>
      </c>
      <c r="G187" s="22">
        <f>IF(OR(A187="",B187=""),"",IFERROR(INDEX('Their statement'!$D$2:$D$201,MATCH(B187,'Their statement'!$A$2:$A$201,0)),""))</f>
      </c>
      <c r="H187" s="22">
        <f>IF(OR(A187="",B187=""),"",IFERROR(INDEX('Their statement'!$E$2:$E$201,MATCH(B187,'Their statement'!$A$2:$A$201,0)),""))</f>
      </c>
      <c r="I187" s="19">
        <f>IF(A187="","",IF(B187="","No PO yet",IF(ISNUMBER(MATCH(B187,'Their statement'!$A$2:$A$201,0)),IF(AND(ROUND(F187-IF(H187="",0,H187),2)=0,OR(G187="",ROUND(E187-IF(G187="",0,G187),2)=0)),"Matches","Differs"),"Missing")))</f>
      </c>
      <c r="J187" s="22">
        <f>IF(OR(I187="Missing",I187="Differs"),F187-IF(H187="",0,H187),"")</f>
      </c>
      <c r="K187" s="10"/>
      <c r="L187" s="23">
        <f>IF(N187=1,SUM($N$10:N187),"")</f>
      </c>
      <c r="M187" s="24">
        <f>IF(N187=1,"Customer PO "&amp;B187&amp;" · "&amp;C187&amp;" · case "&amp;D187&amp;CHAR(10)&amp;"Sales "&amp;DOLLAR(E187,2)&amp;" · commission "&amp;DOLLAR(F187,2)&amp;CHAR(10)&amp;IF(I187="Missing","Not on your "&amp;Setup!$B$5&amp;" commission statement.","Your statement shows commission "&amp;DOLLAR(IF(H187="",0,H187),2)&amp;" (ours "&amp;DOLLAR(F187,2)&amp;")"&amp;IF(AND(G187&lt;&gt;"",ROUND(E187-IF(G187="",0,G187),2)&lt;&gt;0),"; sales price "&amp;DOLLAR(IF(G187="",0,G187),2)&amp;" (ours "&amp;DOLLAR(E187,2)&amp;")","")&amp;".")&amp;CHAR(10)&amp;IF('Our DOs'!G179&lt;&gt;"","We sent this Delivery Order"&amp;IF('Our DOs'!I179="Yes",", with the hospital's purchase order number,","")&amp;" on "&amp;'Our DOs'!G179&amp;IF('Our DOs'!H179&lt;&gt;""," by "&amp;LOWER('Our DOs'!H179),"")&amp;". The Delivery Order is available on request.","The Delivery Order is available on request."),"")</f>
      </c>
      <c r="N187" s="25">
        <f>IF(AND(OR(I187="Missing",I187="Differs"),K187&lt;&gt;"No"),1,0)</f>
      </c>
    </row>
    <row r="188" spans="1:14" x14ac:dyDescent="0.25">
      <c r="A188" s="19">
        <f>IF('Our DOs'!A180="","",'Our DOs'!A180)</f>
      </c>
      <c r="B188" s="19">
        <f>IF(A188="","",'Our DOs'!B180)</f>
      </c>
      <c r="C188" s="19">
        <f>IF(A188="","",'Our DOs'!C180)</f>
      </c>
      <c r="D188" s="19">
        <f>IF(A188="","",'Our DOs'!D180)</f>
      </c>
      <c r="E188" s="22">
        <f>IF(A188="","",'Our DOs'!E180)</f>
      </c>
      <c r="F188" s="22">
        <f>IF(A188="","",'Our DOs'!F180)</f>
      </c>
      <c r="G188" s="22">
        <f>IF(OR(A188="",B188=""),"",IFERROR(INDEX('Their statement'!$D$2:$D$201,MATCH(B188,'Their statement'!$A$2:$A$201,0)),""))</f>
      </c>
      <c r="H188" s="22">
        <f>IF(OR(A188="",B188=""),"",IFERROR(INDEX('Their statement'!$E$2:$E$201,MATCH(B188,'Their statement'!$A$2:$A$201,0)),""))</f>
      </c>
      <c r="I188" s="19">
        <f>IF(A188="","",IF(B188="","No PO yet",IF(ISNUMBER(MATCH(B188,'Their statement'!$A$2:$A$201,0)),IF(AND(ROUND(F188-IF(H188="",0,H188),2)=0,OR(G188="",ROUND(E188-IF(G188="",0,G188),2)=0)),"Matches","Differs"),"Missing")))</f>
      </c>
      <c r="J188" s="22">
        <f>IF(OR(I188="Missing",I188="Differs"),F188-IF(H188="",0,H188),"")</f>
      </c>
      <c r="K188" s="10"/>
      <c r="L188" s="23">
        <f>IF(N188=1,SUM($N$10:N188),"")</f>
      </c>
      <c r="M188" s="24">
        <f>IF(N188=1,"Customer PO "&amp;B188&amp;" · "&amp;C188&amp;" · case "&amp;D188&amp;CHAR(10)&amp;"Sales "&amp;DOLLAR(E188,2)&amp;" · commission "&amp;DOLLAR(F188,2)&amp;CHAR(10)&amp;IF(I188="Missing","Not on your "&amp;Setup!$B$5&amp;" commission statement.","Your statement shows commission "&amp;DOLLAR(IF(H188="",0,H188),2)&amp;" (ours "&amp;DOLLAR(F188,2)&amp;")"&amp;IF(AND(G188&lt;&gt;"",ROUND(E188-IF(G188="",0,G188),2)&lt;&gt;0),"; sales price "&amp;DOLLAR(IF(G188="",0,G188),2)&amp;" (ours "&amp;DOLLAR(E188,2)&amp;")","")&amp;".")&amp;CHAR(10)&amp;IF('Our DOs'!G180&lt;&gt;"","We sent this Delivery Order"&amp;IF('Our DOs'!I180="Yes",", with the hospital's purchase order number,","")&amp;" on "&amp;'Our DOs'!G180&amp;IF('Our DOs'!H180&lt;&gt;""," by "&amp;LOWER('Our DOs'!H180),"")&amp;". The Delivery Order is available on request.","The Delivery Order is available on request."),"")</f>
      </c>
      <c r="N188" s="25">
        <f>IF(AND(OR(I188="Missing",I188="Differs"),K188&lt;&gt;"No"),1,0)</f>
      </c>
    </row>
    <row r="189" spans="1:14" x14ac:dyDescent="0.25">
      <c r="A189" s="19">
        <f>IF('Our DOs'!A181="","",'Our DOs'!A181)</f>
      </c>
      <c r="B189" s="19">
        <f>IF(A189="","",'Our DOs'!B181)</f>
      </c>
      <c r="C189" s="19">
        <f>IF(A189="","",'Our DOs'!C181)</f>
      </c>
      <c r="D189" s="19">
        <f>IF(A189="","",'Our DOs'!D181)</f>
      </c>
      <c r="E189" s="22">
        <f>IF(A189="","",'Our DOs'!E181)</f>
      </c>
      <c r="F189" s="22">
        <f>IF(A189="","",'Our DOs'!F181)</f>
      </c>
      <c r="G189" s="22">
        <f>IF(OR(A189="",B189=""),"",IFERROR(INDEX('Their statement'!$D$2:$D$201,MATCH(B189,'Their statement'!$A$2:$A$201,0)),""))</f>
      </c>
      <c r="H189" s="22">
        <f>IF(OR(A189="",B189=""),"",IFERROR(INDEX('Their statement'!$E$2:$E$201,MATCH(B189,'Their statement'!$A$2:$A$201,0)),""))</f>
      </c>
      <c r="I189" s="19">
        <f>IF(A189="","",IF(B189="","No PO yet",IF(ISNUMBER(MATCH(B189,'Their statement'!$A$2:$A$201,0)),IF(AND(ROUND(F189-IF(H189="",0,H189),2)=0,OR(G189="",ROUND(E189-IF(G189="",0,G189),2)=0)),"Matches","Differs"),"Missing")))</f>
      </c>
      <c r="J189" s="22">
        <f>IF(OR(I189="Missing",I189="Differs"),F189-IF(H189="",0,H189),"")</f>
      </c>
      <c r="K189" s="10"/>
      <c r="L189" s="23">
        <f>IF(N189=1,SUM($N$10:N189),"")</f>
      </c>
      <c r="M189" s="24">
        <f>IF(N189=1,"Customer PO "&amp;B189&amp;" · "&amp;C189&amp;" · case "&amp;D189&amp;CHAR(10)&amp;"Sales "&amp;DOLLAR(E189,2)&amp;" · commission "&amp;DOLLAR(F189,2)&amp;CHAR(10)&amp;IF(I189="Missing","Not on your "&amp;Setup!$B$5&amp;" commission statement.","Your statement shows commission "&amp;DOLLAR(IF(H189="",0,H189),2)&amp;" (ours "&amp;DOLLAR(F189,2)&amp;")"&amp;IF(AND(G189&lt;&gt;"",ROUND(E189-IF(G189="",0,G189),2)&lt;&gt;0),"; sales price "&amp;DOLLAR(IF(G189="",0,G189),2)&amp;" (ours "&amp;DOLLAR(E189,2)&amp;")","")&amp;".")&amp;CHAR(10)&amp;IF('Our DOs'!G181&lt;&gt;"","We sent this Delivery Order"&amp;IF('Our DOs'!I181="Yes",", with the hospital's purchase order number,","")&amp;" on "&amp;'Our DOs'!G181&amp;IF('Our DOs'!H181&lt;&gt;""," by "&amp;LOWER('Our DOs'!H181),"")&amp;". The Delivery Order is available on request.","The Delivery Order is available on request."),"")</f>
      </c>
      <c r="N189" s="25">
        <f>IF(AND(OR(I189="Missing",I189="Differs"),K189&lt;&gt;"No"),1,0)</f>
      </c>
    </row>
    <row r="190" spans="1:14" x14ac:dyDescent="0.25">
      <c r="A190" s="19">
        <f>IF('Our DOs'!A182="","",'Our DOs'!A182)</f>
      </c>
      <c r="B190" s="19">
        <f>IF(A190="","",'Our DOs'!B182)</f>
      </c>
      <c r="C190" s="19">
        <f>IF(A190="","",'Our DOs'!C182)</f>
      </c>
      <c r="D190" s="19">
        <f>IF(A190="","",'Our DOs'!D182)</f>
      </c>
      <c r="E190" s="22">
        <f>IF(A190="","",'Our DOs'!E182)</f>
      </c>
      <c r="F190" s="22">
        <f>IF(A190="","",'Our DOs'!F182)</f>
      </c>
      <c r="G190" s="22">
        <f>IF(OR(A190="",B190=""),"",IFERROR(INDEX('Their statement'!$D$2:$D$201,MATCH(B190,'Their statement'!$A$2:$A$201,0)),""))</f>
      </c>
      <c r="H190" s="22">
        <f>IF(OR(A190="",B190=""),"",IFERROR(INDEX('Their statement'!$E$2:$E$201,MATCH(B190,'Their statement'!$A$2:$A$201,0)),""))</f>
      </c>
      <c r="I190" s="19">
        <f>IF(A190="","",IF(B190="","No PO yet",IF(ISNUMBER(MATCH(B190,'Their statement'!$A$2:$A$201,0)),IF(AND(ROUND(F190-IF(H190="",0,H190),2)=0,OR(G190="",ROUND(E190-IF(G190="",0,G190),2)=0)),"Matches","Differs"),"Missing")))</f>
      </c>
      <c r="J190" s="22">
        <f>IF(OR(I190="Missing",I190="Differs"),F190-IF(H190="",0,H190),"")</f>
      </c>
      <c r="K190" s="10"/>
      <c r="L190" s="23">
        <f>IF(N190=1,SUM($N$10:N190),"")</f>
      </c>
      <c r="M190" s="24">
        <f>IF(N190=1,"Customer PO "&amp;B190&amp;" · "&amp;C190&amp;" · case "&amp;D190&amp;CHAR(10)&amp;"Sales "&amp;DOLLAR(E190,2)&amp;" · commission "&amp;DOLLAR(F190,2)&amp;CHAR(10)&amp;IF(I190="Missing","Not on your "&amp;Setup!$B$5&amp;" commission statement.","Your statement shows commission "&amp;DOLLAR(IF(H190="",0,H190),2)&amp;" (ours "&amp;DOLLAR(F190,2)&amp;")"&amp;IF(AND(G190&lt;&gt;"",ROUND(E190-IF(G190="",0,G190),2)&lt;&gt;0),"; sales price "&amp;DOLLAR(IF(G190="",0,G190),2)&amp;" (ours "&amp;DOLLAR(E190,2)&amp;")","")&amp;".")&amp;CHAR(10)&amp;IF('Our DOs'!G182&lt;&gt;"","We sent this Delivery Order"&amp;IF('Our DOs'!I182="Yes",", with the hospital's purchase order number,","")&amp;" on "&amp;'Our DOs'!G182&amp;IF('Our DOs'!H182&lt;&gt;""," by "&amp;LOWER('Our DOs'!H182),"")&amp;". The Delivery Order is available on request.","The Delivery Order is available on request."),"")</f>
      </c>
      <c r="N190" s="25">
        <f>IF(AND(OR(I190="Missing",I190="Differs"),K190&lt;&gt;"No"),1,0)</f>
      </c>
    </row>
    <row r="191" spans="1:14" x14ac:dyDescent="0.25">
      <c r="A191" s="19">
        <f>IF('Our DOs'!A183="","",'Our DOs'!A183)</f>
      </c>
      <c r="B191" s="19">
        <f>IF(A191="","",'Our DOs'!B183)</f>
      </c>
      <c r="C191" s="19">
        <f>IF(A191="","",'Our DOs'!C183)</f>
      </c>
      <c r="D191" s="19">
        <f>IF(A191="","",'Our DOs'!D183)</f>
      </c>
      <c r="E191" s="22">
        <f>IF(A191="","",'Our DOs'!E183)</f>
      </c>
      <c r="F191" s="22">
        <f>IF(A191="","",'Our DOs'!F183)</f>
      </c>
      <c r="G191" s="22">
        <f>IF(OR(A191="",B191=""),"",IFERROR(INDEX('Their statement'!$D$2:$D$201,MATCH(B191,'Their statement'!$A$2:$A$201,0)),""))</f>
      </c>
      <c r="H191" s="22">
        <f>IF(OR(A191="",B191=""),"",IFERROR(INDEX('Their statement'!$E$2:$E$201,MATCH(B191,'Their statement'!$A$2:$A$201,0)),""))</f>
      </c>
      <c r="I191" s="19">
        <f>IF(A191="","",IF(B191="","No PO yet",IF(ISNUMBER(MATCH(B191,'Their statement'!$A$2:$A$201,0)),IF(AND(ROUND(F191-IF(H191="",0,H191),2)=0,OR(G191="",ROUND(E191-IF(G191="",0,G191),2)=0)),"Matches","Differs"),"Missing")))</f>
      </c>
      <c r="J191" s="22">
        <f>IF(OR(I191="Missing",I191="Differs"),F191-IF(H191="",0,H191),"")</f>
      </c>
      <c r="K191" s="10"/>
      <c r="L191" s="23">
        <f>IF(N191=1,SUM($N$10:N191),"")</f>
      </c>
      <c r="M191" s="24">
        <f>IF(N191=1,"Customer PO "&amp;B191&amp;" · "&amp;C191&amp;" · case "&amp;D191&amp;CHAR(10)&amp;"Sales "&amp;DOLLAR(E191,2)&amp;" · commission "&amp;DOLLAR(F191,2)&amp;CHAR(10)&amp;IF(I191="Missing","Not on your "&amp;Setup!$B$5&amp;" commission statement.","Your statement shows commission "&amp;DOLLAR(IF(H191="",0,H191),2)&amp;" (ours "&amp;DOLLAR(F191,2)&amp;")"&amp;IF(AND(G191&lt;&gt;"",ROUND(E191-IF(G191="",0,G191),2)&lt;&gt;0),"; sales price "&amp;DOLLAR(IF(G191="",0,G191),2)&amp;" (ours "&amp;DOLLAR(E191,2)&amp;")","")&amp;".")&amp;CHAR(10)&amp;IF('Our DOs'!G183&lt;&gt;"","We sent this Delivery Order"&amp;IF('Our DOs'!I183="Yes",", with the hospital's purchase order number,","")&amp;" on "&amp;'Our DOs'!G183&amp;IF('Our DOs'!H183&lt;&gt;""," by "&amp;LOWER('Our DOs'!H183),"")&amp;". The Delivery Order is available on request.","The Delivery Order is available on request."),"")</f>
      </c>
      <c r="N191" s="25">
        <f>IF(AND(OR(I191="Missing",I191="Differs"),K191&lt;&gt;"No"),1,0)</f>
      </c>
    </row>
    <row r="192" spans="1:14" x14ac:dyDescent="0.25">
      <c r="A192" s="19">
        <f>IF('Our DOs'!A184="","",'Our DOs'!A184)</f>
      </c>
      <c r="B192" s="19">
        <f>IF(A192="","",'Our DOs'!B184)</f>
      </c>
      <c r="C192" s="19">
        <f>IF(A192="","",'Our DOs'!C184)</f>
      </c>
      <c r="D192" s="19">
        <f>IF(A192="","",'Our DOs'!D184)</f>
      </c>
      <c r="E192" s="22">
        <f>IF(A192="","",'Our DOs'!E184)</f>
      </c>
      <c r="F192" s="22">
        <f>IF(A192="","",'Our DOs'!F184)</f>
      </c>
      <c r="G192" s="22">
        <f>IF(OR(A192="",B192=""),"",IFERROR(INDEX('Their statement'!$D$2:$D$201,MATCH(B192,'Their statement'!$A$2:$A$201,0)),""))</f>
      </c>
      <c r="H192" s="22">
        <f>IF(OR(A192="",B192=""),"",IFERROR(INDEX('Their statement'!$E$2:$E$201,MATCH(B192,'Their statement'!$A$2:$A$201,0)),""))</f>
      </c>
      <c r="I192" s="19">
        <f>IF(A192="","",IF(B192="","No PO yet",IF(ISNUMBER(MATCH(B192,'Their statement'!$A$2:$A$201,0)),IF(AND(ROUND(F192-IF(H192="",0,H192),2)=0,OR(G192="",ROUND(E192-IF(G192="",0,G192),2)=0)),"Matches","Differs"),"Missing")))</f>
      </c>
      <c r="J192" s="22">
        <f>IF(OR(I192="Missing",I192="Differs"),F192-IF(H192="",0,H192),"")</f>
      </c>
      <c r="K192" s="10"/>
      <c r="L192" s="23">
        <f>IF(N192=1,SUM($N$10:N192),"")</f>
      </c>
      <c r="M192" s="24">
        <f>IF(N192=1,"Customer PO "&amp;B192&amp;" · "&amp;C192&amp;" · case "&amp;D192&amp;CHAR(10)&amp;"Sales "&amp;DOLLAR(E192,2)&amp;" · commission "&amp;DOLLAR(F192,2)&amp;CHAR(10)&amp;IF(I192="Missing","Not on your "&amp;Setup!$B$5&amp;" commission statement.","Your statement shows commission "&amp;DOLLAR(IF(H192="",0,H192),2)&amp;" (ours "&amp;DOLLAR(F192,2)&amp;")"&amp;IF(AND(G192&lt;&gt;"",ROUND(E192-IF(G192="",0,G192),2)&lt;&gt;0),"; sales price "&amp;DOLLAR(IF(G192="",0,G192),2)&amp;" (ours "&amp;DOLLAR(E192,2)&amp;")","")&amp;".")&amp;CHAR(10)&amp;IF('Our DOs'!G184&lt;&gt;"","We sent this Delivery Order"&amp;IF('Our DOs'!I184="Yes",", with the hospital's purchase order number,","")&amp;" on "&amp;'Our DOs'!G184&amp;IF('Our DOs'!H184&lt;&gt;""," by "&amp;LOWER('Our DOs'!H184),"")&amp;". The Delivery Order is available on request.","The Delivery Order is available on request."),"")</f>
      </c>
      <c r="N192" s="25">
        <f>IF(AND(OR(I192="Missing",I192="Differs"),K192&lt;&gt;"No"),1,0)</f>
      </c>
    </row>
    <row r="193" spans="1:14" x14ac:dyDescent="0.25">
      <c r="A193" s="19">
        <f>IF('Our DOs'!A185="","",'Our DOs'!A185)</f>
      </c>
      <c r="B193" s="19">
        <f>IF(A193="","",'Our DOs'!B185)</f>
      </c>
      <c r="C193" s="19">
        <f>IF(A193="","",'Our DOs'!C185)</f>
      </c>
      <c r="D193" s="19">
        <f>IF(A193="","",'Our DOs'!D185)</f>
      </c>
      <c r="E193" s="22">
        <f>IF(A193="","",'Our DOs'!E185)</f>
      </c>
      <c r="F193" s="22">
        <f>IF(A193="","",'Our DOs'!F185)</f>
      </c>
      <c r="G193" s="22">
        <f>IF(OR(A193="",B193=""),"",IFERROR(INDEX('Their statement'!$D$2:$D$201,MATCH(B193,'Their statement'!$A$2:$A$201,0)),""))</f>
      </c>
      <c r="H193" s="22">
        <f>IF(OR(A193="",B193=""),"",IFERROR(INDEX('Their statement'!$E$2:$E$201,MATCH(B193,'Their statement'!$A$2:$A$201,0)),""))</f>
      </c>
      <c r="I193" s="19">
        <f>IF(A193="","",IF(B193="","No PO yet",IF(ISNUMBER(MATCH(B193,'Their statement'!$A$2:$A$201,0)),IF(AND(ROUND(F193-IF(H193="",0,H193),2)=0,OR(G193="",ROUND(E193-IF(G193="",0,G193),2)=0)),"Matches","Differs"),"Missing")))</f>
      </c>
      <c r="J193" s="22">
        <f>IF(OR(I193="Missing",I193="Differs"),F193-IF(H193="",0,H193),"")</f>
      </c>
      <c r="K193" s="10"/>
      <c r="L193" s="23">
        <f>IF(N193=1,SUM($N$10:N193),"")</f>
      </c>
      <c r="M193" s="24">
        <f>IF(N193=1,"Customer PO "&amp;B193&amp;" · "&amp;C193&amp;" · case "&amp;D193&amp;CHAR(10)&amp;"Sales "&amp;DOLLAR(E193,2)&amp;" · commission "&amp;DOLLAR(F193,2)&amp;CHAR(10)&amp;IF(I193="Missing","Not on your "&amp;Setup!$B$5&amp;" commission statement.","Your statement shows commission "&amp;DOLLAR(IF(H193="",0,H193),2)&amp;" (ours "&amp;DOLLAR(F193,2)&amp;")"&amp;IF(AND(G193&lt;&gt;"",ROUND(E193-IF(G193="",0,G193),2)&lt;&gt;0),"; sales price "&amp;DOLLAR(IF(G193="",0,G193),2)&amp;" (ours "&amp;DOLLAR(E193,2)&amp;")","")&amp;".")&amp;CHAR(10)&amp;IF('Our DOs'!G185&lt;&gt;"","We sent this Delivery Order"&amp;IF('Our DOs'!I185="Yes",", with the hospital's purchase order number,","")&amp;" on "&amp;'Our DOs'!G185&amp;IF('Our DOs'!H185&lt;&gt;""," by "&amp;LOWER('Our DOs'!H185),"")&amp;". The Delivery Order is available on request.","The Delivery Order is available on request."),"")</f>
      </c>
      <c r="N193" s="25">
        <f>IF(AND(OR(I193="Missing",I193="Differs"),K193&lt;&gt;"No"),1,0)</f>
      </c>
    </row>
    <row r="194" spans="1:14" x14ac:dyDescent="0.25">
      <c r="A194" s="19">
        <f>IF('Our DOs'!A186="","",'Our DOs'!A186)</f>
      </c>
      <c r="B194" s="19">
        <f>IF(A194="","",'Our DOs'!B186)</f>
      </c>
      <c r="C194" s="19">
        <f>IF(A194="","",'Our DOs'!C186)</f>
      </c>
      <c r="D194" s="19">
        <f>IF(A194="","",'Our DOs'!D186)</f>
      </c>
      <c r="E194" s="22">
        <f>IF(A194="","",'Our DOs'!E186)</f>
      </c>
      <c r="F194" s="22">
        <f>IF(A194="","",'Our DOs'!F186)</f>
      </c>
      <c r="G194" s="22">
        <f>IF(OR(A194="",B194=""),"",IFERROR(INDEX('Their statement'!$D$2:$D$201,MATCH(B194,'Their statement'!$A$2:$A$201,0)),""))</f>
      </c>
      <c r="H194" s="22">
        <f>IF(OR(A194="",B194=""),"",IFERROR(INDEX('Their statement'!$E$2:$E$201,MATCH(B194,'Their statement'!$A$2:$A$201,0)),""))</f>
      </c>
      <c r="I194" s="19">
        <f>IF(A194="","",IF(B194="","No PO yet",IF(ISNUMBER(MATCH(B194,'Their statement'!$A$2:$A$201,0)),IF(AND(ROUND(F194-IF(H194="",0,H194),2)=0,OR(G194="",ROUND(E194-IF(G194="",0,G194),2)=0)),"Matches","Differs"),"Missing")))</f>
      </c>
      <c r="J194" s="22">
        <f>IF(OR(I194="Missing",I194="Differs"),F194-IF(H194="",0,H194),"")</f>
      </c>
      <c r="K194" s="10"/>
      <c r="L194" s="23">
        <f>IF(N194=1,SUM($N$10:N194),"")</f>
      </c>
      <c r="M194" s="24">
        <f>IF(N194=1,"Customer PO "&amp;B194&amp;" · "&amp;C194&amp;" · case "&amp;D194&amp;CHAR(10)&amp;"Sales "&amp;DOLLAR(E194,2)&amp;" · commission "&amp;DOLLAR(F194,2)&amp;CHAR(10)&amp;IF(I194="Missing","Not on your "&amp;Setup!$B$5&amp;" commission statement.","Your statement shows commission "&amp;DOLLAR(IF(H194="",0,H194),2)&amp;" (ours "&amp;DOLLAR(F194,2)&amp;")"&amp;IF(AND(G194&lt;&gt;"",ROUND(E194-IF(G194="",0,G194),2)&lt;&gt;0),"; sales price "&amp;DOLLAR(IF(G194="",0,G194),2)&amp;" (ours "&amp;DOLLAR(E194,2)&amp;")","")&amp;".")&amp;CHAR(10)&amp;IF('Our DOs'!G186&lt;&gt;"","We sent this Delivery Order"&amp;IF('Our DOs'!I186="Yes",", with the hospital's purchase order number,","")&amp;" on "&amp;'Our DOs'!G186&amp;IF('Our DOs'!H186&lt;&gt;""," by "&amp;LOWER('Our DOs'!H186),"")&amp;". The Delivery Order is available on request.","The Delivery Order is available on request."),"")</f>
      </c>
      <c r="N194" s="25">
        <f>IF(AND(OR(I194="Missing",I194="Differs"),K194&lt;&gt;"No"),1,0)</f>
      </c>
    </row>
    <row r="195" spans="1:14" x14ac:dyDescent="0.25">
      <c r="A195" s="19">
        <f>IF('Our DOs'!A187="","",'Our DOs'!A187)</f>
      </c>
      <c r="B195" s="19">
        <f>IF(A195="","",'Our DOs'!B187)</f>
      </c>
      <c r="C195" s="19">
        <f>IF(A195="","",'Our DOs'!C187)</f>
      </c>
      <c r="D195" s="19">
        <f>IF(A195="","",'Our DOs'!D187)</f>
      </c>
      <c r="E195" s="22">
        <f>IF(A195="","",'Our DOs'!E187)</f>
      </c>
      <c r="F195" s="22">
        <f>IF(A195="","",'Our DOs'!F187)</f>
      </c>
      <c r="G195" s="22">
        <f>IF(OR(A195="",B195=""),"",IFERROR(INDEX('Their statement'!$D$2:$D$201,MATCH(B195,'Their statement'!$A$2:$A$201,0)),""))</f>
      </c>
      <c r="H195" s="22">
        <f>IF(OR(A195="",B195=""),"",IFERROR(INDEX('Their statement'!$E$2:$E$201,MATCH(B195,'Their statement'!$A$2:$A$201,0)),""))</f>
      </c>
      <c r="I195" s="19">
        <f>IF(A195="","",IF(B195="","No PO yet",IF(ISNUMBER(MATCH(B195,'Their statement'!$A$2:$A$201,0)),IF(AND(ROUND(F195-IF(H195="",0,H195),2)=0,OR(G195="",ROUND(E195-IF(G195="",0,G195),2)=0)),"Matches","Differs"),"Missing")))</f>
      </c>
      <c r="J195" s="22">
        <f>IF(OR(I195="Missing",I195="Differs"),F195-IF(H195="",0,H195),"")</f>
      </c>
      <c r="K195" s="10"/>
      <c r="L195" s="23">
        <f>IF(N195=1,SUM($N$10:N195),"")</f>
      </c>
      <c r="M195" s="24">
        <f>IF(N195=1,"Customer PO "&amp;B195&amp;" · "&amp;C195&amp;" · case "&amp;D195&amp;CHAR(10)&amp;"Sales "&amp;DOLLAR(E195,2)&amp;" · commission "&amp;DOLLAR(F195,2)&amp;CHAR(10)&amp;IF(I195="Missing","Not on your "&amp;Setup!$B$5&amp;" commission statement.","Your statement shows commission "&amp;DOLLAR(IF(H195="",0,H195),2)&amp;" (ours "&amp;DOLLAR(F195,2)&amp;")"&amp;IF(AND(G195&lt;&gt;"",ROUND(E195-IF(G195="",0,G195),2)&lt;&gt;0),"; sales price "&amp;DOLLAR(IF(G195="",0,G195),2)&amp;" (ours "&amp;DOLLAR(E195,2)&amp;")","")&amp;".")&amp;CHAR(10)&amp;IF('Our DOs'!G187&lt;&gt;"","We sent this Delivery Order"&amp;IF('Our DOs'!I187="Yes",", with the hospital's purchase order number,","")&amp;" on "&amp;'Our DOs'!G187&amp;IF('Our DOs'!H187&lt;&gt;""," by "&amp;LOWER('Our DOs'!H187),"")&amp;". The Delivery Order is available on request.","The Delivery Order is available on request."),"")</f>
      </c>
      <c r="N195" s="25">
        <f>IF(AND(OR(I195="Missing",I195="Differs"),K195&lt;&gt;"No"),1,0)</f>
      </c>
    </row>
    <row r="196" spans="1:14" x14ac:dyDescent="0.25">
      <c r="A196" s="19">
        <f>IF('Our DOs'!A188="","",'Our DOs'!A188)</f>
      </c>
      <c r="B196" s="19">
        <f>IF(A196="","",'Our DOs'!B188)</f>
      </c>
      <c r="C196" s="19">
        <f>IF(A196="","",'Our DOs'!C188)</f>
      </c>
      <c r="D196" s="19">
        <f>IF(A196="","",'Our DOs'!D188)</f>
      </c>
      <c r="E196" s="22">
        <f>IF(A196="","",'Our DOs'!E188)</f>
      </c>
      <c r="F196" s="22">
        <f>IF(A196="","",'Our DOs'!F188)</f>
      </c>
      <c r="G196" s="22">
        <f>IF(OR(A196="",B196=""),"",IFERROR(INDEX('Their statement'!$D$2:$D$201,MATCH(B196,'Their statement'!$A$2:$A$201,0)),""))</f>
      </c>
      <c r="H196" s="22">
        <f>IF(OR(A196="",B196=""),"",IFERROR(INDEX('Their statement'!$E$2:$E$201,MATCH(B196,'Their statement'!$A$2:$A$201,0)),""))</f>
      </c>
      <c r="I196" s="19">
        <f>IF(A196="","",IF(B196="","No PO yet",IF(ISNUMBER(MATCH(B196,'Their statement'!$A$2:$A$201,0)),IF(AND(ROUND(F196-IF(H196="",0,H196),2)=0,OR(G196="",ROUND(E196-IF(G196="",0,G196),2)=0)),"Matches","Differs"),"Missing")))</f>
      </c>
      <c r="J196" s="22">
        <f>IF(OR(I196="Missing",I196="Differs"),F196-IF(H196="",0,H196),"")</f>
      </c>
      <c r="K196" s="10"/>
      <c r="L196" s="23">
        <f>IF(N196=1,SUM($N$10:N196),"")</f>
      </c>
      <c r="M196" s="24">
        <f>IF(N196=1,"Customer PO "&amp;B196&amp;" · "&amp;C196&amp;" · case "&amp;D196&amp;CHAR(10)&amp;"Sales "&amp;DOLLAR(E196,2)&amp;" · commission "&amp;DOLLAR(F196,2)&amp;CHAR(10)&amp;IF(I196="Missing","Not on your "&amp;Setup!$B$5&amp;" commission statement.","Your statement shows commission "&amp;DOLLAR(IF(H196="",0,H196),2)&amp;" (ours "&amp;DOLLAR(F196,2)&amp;")"&amp;IF(AND(G196&lt;&gt;"",ROUND(E196-IF(G196="",0,G196),2)&lt;&gt;0),"; sales price "&amp;DOLLAR(IF(G196="",0,G196),2)&amp;" (ours "&amp;DOLLAR(E196,2)&amp;")","")&amp;".")&amp;CHAR(10)&amp;IF('Our DOs'!G188&lt;&gt;"","We sent this Delivery Order"&amp;IF('Our DOs'!I188="Yes",", with the hospital's purchase order number,","")&amp;" on "&amp;'Our DOs'!G188&amp;IF('Our DOs'!H188&lt;&gt;""," by "&amp;LOWER('Our DOs'!H188),"")&amp;". The Delivery Order is available on request.","The Delivery Order is available on request."),"")</f>
      </c>
      <c r="N196" s="25">
        <f>IF(AND(OR(I196="Missing",I196="Differs"),K196&lt;&gt;"No"),1,0)</f>
      </c>
    </row>
    <row r="197" spans="1:14" x14ac:dyDescent="0.25">
      <c r="A197" s="19">
        <f>IF('Our DOs'!A189="","",'Our DOs'!A189)</f>
      </c>
      <c r="B197" s="19">
        <f>IF(A197="","",'Our DOs'!B189)</f>
      </c>
      <c r="C197" s="19">
        <f>IF(A197="","",'Our DOs'!C189)</f>
      </c>
      <c r="D197" s="19">
        <f>IF(A197="","",'Our DOs'!D189)</f>
      </c>
      <c r="E197" s="22">
        <f>IF(A197="","",'Our DOs'!E189)</f>
      </c>
      <c r="F197" s="22">
        <f>IF(A197="","",'Our DOs'!F189)</f>
      </c>
      <c r="G197" s="22">
        <f>IF(OR(A197="",B197=""),"",IFERROR(INDEX('Their statement'!$D$2:$D$201,MATCH(B197,'Their statement'!$A$2:$A$201,0)),""))</f>
      </c>
      <c r="H197" s="22">
        <f>IF(OR(A197="",B197=""),"",IFERROR(INDEX('Their statement'!$E$2:$E$201,MATCH(B197,'Their statement'!$A$2:$A$201,0)),""))</f>
      </c>
      <c r="I197" s="19">
        <f>IF(A197="","",IF(B197="","No PO yet",IF(ISNUMBER(MATCH(B197,'Their statement'!$A$2:$A$201,0)),IF(AND(ROUND(F197-IF(H197="",0,H197),2)=0,OR(G197="",ROUND(E197-IF(G197="",0,G197),2)=0)),"Matches","Differs"),"Missing")))</f>
      </c>
      <c r="J197" s="22">
        <f>IF(OR(I197="Missing",I197="Differs"),F197-IF(H197="",0,H197),"")</f>
      </c>
      <c r="K197" s="10"/>
      <c r="L197" s="23">
        <f>IF(N197=1,SUM($N$10:N197),"")</f>
      </c>
      <c r="M197" s="24">
        <f>IF(N197=1,"Customer PO "&amp;B197&amp;" · "&amp;C197&amp;" · case "&amp;D197&amp;CHAR(10)&amp;"Sales "&amp;DOLLAR(E197,2)&amp;" · commission "&amp;DOLLAR(F197,2)&amp;CHAR(10)&amp;IF(I197="Missing","Not on your "&amp;Setup!$B$5&amp;" commission statement.","Your statement shows commission "&amp;DOLLAR(IF(H197="",0,H197),2)&amp;" (ours "&amp;DOLLAR(F197,2)&amp;")"&amp;IF(AND(G197&lt;&gt;"",ROUND(E197-IF(G197="",0,G197),2)&lt;&gt;0),"; sales price "&amp;DOLLAR(IF(G197="",0,G197),2)&amp;" (ours "&amp;DOLLAR(E197,2)&amp;")","")&amp;".")&amp;CHAR(10)&amp;IF('Our DOs'!G189&lt;&gt;"","We sent this Delivery Order"&amp;IF('Our DOs'!I189="Yes",", with the hospital's purchase order number,","")&amp;" on "&amp;'Our DOs'!G189&amp;IF('Our DOs'!H189&lt;&gt;""," by "&amp;LOWER('Our DOs'!H189),"")&amp;". The Delivery Order is available on request.","The Delivery Order is available on request."),"")</f>
      </c>
      <c r="N197" s="25">
        <f>IF(AND(OR(I197="Missing",I197="Differs"),K197&lt;&gt;"No"),1,0)</f>
      </c>
    </row>
    <row r="198" spans="1:14" x14ac:dyDescent="0.25">
      <c r="A198" s="19">
        <f>IF('Our DOs'!A190="","",'Our DOs'!A190)</f>
      </c>
      <c r="B198" s="19">
        <f>IF(A198="","",'Our DOs'!B190)</f>
      </c>
      <c r="C198" s="19">
        <f>IF(A198="","",'Our DOs'!C190)</f>
      </c>
      <c r="D198" s="19">
        <f>IF(A198="","",'Our DOs'!D190)</f>
      </c>
      <c r="E198" s="22">
        <f>IF(A198="","",'Our DOs'!E190)</f>
      </c>
      <c r="F198" s="22">
        <f>IF(A198="","",'Our DOs'!F190)</f>
      </c>
      <c r="G198" s="22">
        <f>IF(OR(A198="",B198=""),"",IFERROR(INDEX('Their statement'!$D$2:$D$201,MATCH(B198,'Their statement'!$A$2:$A$201,0)),""))</f>
      </c>
      <c r="H198" s="22">
        <f>IF(OR(A198="",B198=""),"",IFERROR(INDEX('Their statement'!$E$2:$E$201,MATCH(B198,'Their statement'!$A$2:$A$201,0)),""))</f>
      </c>
      <c r="I198" s="19">
        <f>IF(A198="","",IF(B198="","No PO yet",IF(ISNUMBER(MATCH(B198,'Their statement'!$A$2:$A$201,0)),IF(AND(ROUND(F198-IF(H198="",0,H198),2)=0,OR(G198="",ROUND(E198-IF(G198="",0,G198),2)=0)),"Matches","Differs"),"Missing")))</f>
      </c>
      <c r="J198" s="22">
        <f>IF(OR(I198="Missing",I198="Differs"),F198-IF(H198="",0,H198),"")</f>
      </c>
      <c r="K198" s="10"/>
      <c r="L198" s="23">
        <f>IF(N198=1,SUM($N$10:N198),"")</f>
      </c>
      <c r="M198" s="24">
        <f>IF(N198=1,"Customer PO "&amp;B198&amp;" · "&amp;C198&amp;" · case "&amp;D198&amp;CHAR(10)&amp;"Sales "&amp;DOLLAR(E198,2)&amp;" · commission "&amp;DOLLAR(F198,2)&amp;CHAR(10)&amp;IF(I198="Missing","Not on your "&amp;Setup!$B$5&amp;" commission statement.","Your statement shows commission "&amp;DOLLAR(IF(H198="",0,H198),2)&amp;" (ours "&amp;DOLLAR(F198,2)&amp;")"&amp;IF(AND(G198&lt;&gt;"",ROUND(E198-IF(G198="",0,G198),2)&lt;&gt;0),"; sales price "&amp;DOLLAR(IF(G198="",0,G198),2)&amp;" (ours "&amp;DOLLAR(E198,2)&amp;")","")&amp;".")&amp;CHAR(10)&amp;IF('Our DOs'!G190&lt;&gt;"","We sent this Delivery Order"&amp;IF('Our DOs'!I190="Yes",", with the hospital's purchase order number,","")&amp;" on "&amp;'Our DOs'!G190&amp;IF('Our DOs'!H190&lt;&gt;""," by "&amp;LOWER('Our DOs'!H190),"")&amp;". The Delivery Order is available on request.","The Delivery Order is available on request."),"")</f>
      </c>
      <c r="N198" s="25">
        <f>IF(AND(OR(I198="Missing",I198="Differs"),K198&lt;&gt;"No"),1,0)</f>
      </c>
    </row>
    <row r="199" spans="1:14" x14ac:dyDescent="0.25">
      <c r="A199" s="19">
        <f>IF('Our DOs'!A191="","",'Our DOs'!A191)</f>
      </c>
      <c r="B199" s="19">
        <f>IF(A199="","",'Our DOs'!B191)</f>
      </c>
      <c r="C199" s="19">
        <f>IF(A199="","",'Our DOs'!C191)</f>
      </c>
      <c r="D199" s="19">
        <f>IF(A199="","",'Our DOs'!D191)</f>
      </c>
      <c r="E199" s="22">
        <f>IF(A199="","",'Our DOs'!E191)</f>
      </c>
      <c r="F199" s="22">
        <f>IF(A199="","",'Our DOs'!F191)</f>
      </c>
      <c r="G199" s="22">
        <f>IF(OR(A199="",B199=""),"",IFERROR(INDEX('Their statement'!$D$2:$D$201,MATCH(B199,'Their statement'!$A$2:$A$201,0)),""))</f>
      </c>
      <c r="H199" s="22">
        <f>IF(OR(A199="",B199=""),"",IFERROR(INDEX('Their statement'!$E$2:$E$201,MATCH(B199,'Their statement'!$A$2:$A$201,0)),""))</f>
      </c>
      <c r="I199" s="19">
        <f>IF(A199="","",IF(B199="","No PO yet",IF(ISNUMBER(MATCH(B199,'Their statement'!$A$2:$A$201,0)),IF(AND(ROUND(F199-IF(H199="",0,H199),2)=0,OR(G199="",ROUND(E199-IF(G199="",0,G199),2)=0)),"Matches","Differs"),"Missing")))</f>
      </c>
      <c r="J199" s="22">
        <f>IF(OR(I199="Missing",I199="Differs"),F199-IF(H199="",0,H199),"")</f>
      </c>
      <c r="K199" s="10"/>
      <c r="L199" s="23">
        <f>IF(N199=1,SUM($N$10:N199),"")</f>
      </c>
      <c r="M199" s="24">
        <f>IF(N199=1,"Customer PO "&amp;B199&amp;" · "&amp;C199&amp;" · case "&amp;D199&amp;CHAR(10)&amp;"Sales "&amp;DOLLAR(E199,2)&amp;" · commission "&amp;DOLLAR(F199,2)&amp;CHAR(10)&amp;IF(I199="Missing","Not on your "&amp;Setup!$B$5&amp;" commission statement.","Your statement shows commission "&amp;DOLLAR(IF(H199="",0,H199),2)&amp;" (ours "&amp;DOLLAR(F199,2)&amp;")"&amp;IF(AND(G199&lt;&gt;"",ROUND(E199-IF(G199="",0,G199),2)&lt;&gt;0),"; sales price "&amp;DOLLAR(IF(G199="",0,G199),2)&amp;" (ours "&amp;DOLLAR(E199,2)&amp;")","")&amp;".")&amp;CHAR(10)&amp;IF('Our DOs'!G191&lt;&gt;"","We sent this Delivery Order"&amp;IF('Our DOs'!I191="Yes",", with the hospital's purchase order number,","")&amp;" on "&amp;'Our DOs'!G191&amp;IF('Our DOs'!H191&lt;&gt;""," by "&amp;LOWER('Our DOs'!H191),"")&amp;". The Delivery Order is available on request.","The Delivery Order is available on request."),"")</f>
      </c>
      <c r="N199" s="25">
        <f>IF(AND(OR(I199="Missing",I199="Differs"),K199&lt;&gt;"No"),1,0)</f>
      </c>
    </row>
    <row r="200" spans="1:14" x14ac:dyDescent="0.25">
      <c r="A200" s="19">
        <f>IF('Our DOs'!A192="","",'Our DOs'!A192)</f>
      </c>
      <c r="B200" s="19">
        <f>IF(A200="","",'Our DOs'!B192)</f>
      </c>
      <c r="C200" s="19">
        <f>IF(A200="","",'Our DOs'!C192)</f>
      </c>
      <c r="D200" s="19">
        <f>IF(A200="","",'Our DOs'!D192)</f>
      </c>
      <c r="E200" s="22">
        <f>IF(A200="","",'Our DOs'!E192)</f>
      </c>
      <c r="F200" s="22">
        <f>IF(A200="","",'Our DOs'!F192)</f>
      </c>
      <c r="G200" s="22">
        <f>IF(OR(A200="",B200=""),"",IFERROR(INDEX('Their statement'!$D$2:$D$201,MATCH(B200,'Their statement'!$A$2:$A$201,0)),""))</f>
      </c>
      <c r="H200" s="22">
        <f>IF(OR(A200="",B200=""),"",IFERROR(INDEX('Their statement'!$E$2:$E$201,MATCH(B200,'Their statement'!$A$2:$A$201,0)),""))</f>
      </c>
      <c r="I200" s="19">
        <f>IF(A200="","",IF(B200="","No PO yet",IF(ISNUMBER(MATCH(B200,'Their statement'!$A$2:$A$201,0)),IF(AND(ROUND(F200-IF(H200="",0,H200),2)=0,OR(G200="",ROUND(E200-IF(G200="",0,G200),2)=0)),"Matches","Differs"),"Missing")))</f>
      </c>
      <c r="J200" s="22">
        <f>IF(OR(I200="Missing",I200="Differs"),F200-IF(H200="",0,H200),"")</f>
      </c>
      <c r="K200" s="10"/>
      <c r="L200" s="23">
        <f>IF(N200=1,SUM($N$10:N200),"")</f>
      </c>
      <c r="M200" s="24">
        <f>IF(N200=1,"Customer PO "&amp;B200&amp;" · "&amp;C200&amp;" · case "&amp;D200&amp;CHAR(10)&amp;"Sales "&amp;DOLLAR(E200,2)&amp;" · commission "&amp;DOLLAR(F200,2)&amp;CHAR(10)&amp;IF(I200="Missing","Not on your "&amp;Setup!$B$5&amp;" commission statement.","Your statement shows commission "&amp;DOLLAR(IF(H200="",0,H200),2)&amp;" (ours "&amp;DOLLAR(F200,2)&amp;")"&amp;IF(AND(G200&lt;&gt;"",ROUND(E200-IF(G200="",0,G200),2)&lt;&gt;0),"; sales price "&amp;DOLLAR(IF(G200="",0,G200),2)&amp;" (ours "&amp;DOLLAR(E200,2)&amp;")","")&amp;".")&amp;CHAR(10)&amp;IF('Our DOs'!G192&lt;&gt;"","We sent this Delivery Order"&amp;IF('Our DOs'!I192="Yes",", with the hospital's purchase order number,","")&amp;" on "&amp;'Our DOs'!G192&amp;IF('Our DOs'!H192&lt;&gt;""," by "&amp;LOWER('Our DOs'!H192),"")&amp;". The Delivery Order is available on request.","The Delivery Order is available on request."),"")</f>
      </c>
      <c r="N200" s="25">
        <f>IF(AND(OR(I200="Missing",I200="Differs"),K200&lt;&gt;"No"),1,0)</f>
      </c>
    </row>
    <row r="201" spans="1:14" x14ac:dyDescent="0.25">
      <c r="A201" s="19">
        <f>IF('Our DOs'!A193="","",'Our DOs'!A193)</f>
      </c>
      <c r="B201" s="19">
        <f>IF(A201="","",'Our DOs'!B193)</f>
      </c>
      <c r="C201" s="19">
        <f>IF(A201="","",'Our DOs'!C193)</f>
      </c>
      <c r="D201" s="19">
        <f>IF(A201="","",'Our DOs'!D193)</f>
      </c>
      <c r="E201" s="22">
        <f>IF(A201="","",'Our DOs'!E193)</f>
      </c>
      <c r="F201" s="22">
        <f>IF(A201="","",'Our DOs'!F193)</f>
      </c>
      <c r="G201" s="22">
        <f>IF(OR(A201="",B201=""),"",IFERROR(INDEX('Their statement'!$D$2:$D$201,MATCH(B201,'Their statement'!$A$2:$A$201,0)),""))</f>
      </c>
      <c r="H201" s="22">
        <f>IF(OR(A201="",B201=""),"",IFERROR(INDEX('Their statement'!$E$2:$E$201,MATCH(B201,'Their statement'!$A$2:$A$201,0)),""))</f>
      </c>
      <c r="I201" s="19">
        <f>IF(A201="","",IF(B201="","No PO yet",IF(ISNUMBER(MATCH(B201,'Their statement'!$A$2:$A$201,0)),IF(AND(ROUND(F201-IF(H201="",0,H201),2)=0,OR(G201="",ROUND(E201-IF(G201="",0,G201),2)=0)),"Matches","Differs"),"Missing")))</f>
      </c>
      <c r="J201" s="22">
        <f>IF(OR(I201="Missing",I201="Differs"),F201-IF(H201="",0,H201),"")</f>
      </c>
      <c r="K201" s="10"/>
      <c r="L201" s="23">
        <f>IF(N201=1,SUM($N$10:N201),"")</f>
      </c>
      <c r="M201" s="24">
        <f>IF(N201=1,"Customer PO "&amp;B201&amp;" · "&amp;C201&amp;" · case "&amp;D201&amp;CHAR(10)&amp;"Sales "&amp;DOLLAR(E201,2)&amp;" · commission "&amp;DOLLAR(F201,2)&amp;CHAR(10)&amp;IF(I201="Missing","Not on your "&amp;Setup!$B$5&amp;" commission statement.","Your statement shows commission "&amp;DOLLAR(IF(H201="",0,H201),2)&amp;" (ours "&amp;DOLLAR(F201,2)&amp;")"&amp;IF(AND(G201&lt;&gt;"",ROUND(E201-IF(G201="",0,G201),2)&lt;&gt;0),"; sales price "&amp;DOLLAR(IF(G201="",0,G201),2)&amp;" (ours "&amp;DOLLAR(E201,2)&amp;")","")&amp;".")&amp;CHAR(10)&amp;IF('Our DOs'!G193&lt;&gt;"","We sent this Delivery Order"&amp;IF('Our DOs'!I193="Yes",", with the hospital's purchase order number,","")&amp;" on "&amp;'Our DOs'!G193&amp;IF('Our DOs'!H193&lt;&gt;""," by "&amp;LOWER('Our DOs'!H193),"")&amp;". The Delivery Order is available on request.","The Delivery Order is available on request."),"")</f>
      </c>
      <c r="N201" s="25">
        <f>IF(AND(OR(I201="Missing",I201="Differs"),K201&lt;&gt;"No"),1,0)</f>
      </c>
    </row>
    <row r="202" spans="1:14" x14ac:dyDescent="0.25">
      <c r="A202" s="19">
        <f>IF('Our DOs'!A194="","",'Our DOs'!A194)</f>
      </c>
      <c r="B202" s="19">
        <f>IF(A202="","",'Our DOs'!B194)</f>
      </c>
      <c r="C202" s="19">
        <f>IF(A202="","",'Our DOs'!C194)</f>
      </c>
      <c r="D202" s="19">
        <f>IF(A202="","",'Our DOs'!D194)</f>
      </c>
      <c r="E202" s="22">
        <f>IF(A202="","",'Our DOs'!E194)</f>
      </c>
      <c r="F202" s="22">
        <f>IF(A202="","",'Our DOs'!F194)</f>
      </c>
      <c r="G202" s="22">
        <f>IF(OR(A202="",B202=""),"",IFERROR(INDEX('Their statement'!$D$2:$D$201,MATCH(B202,'Their statement'!$A$2:$A$201,0)),""))</f>
      </c>
      <c r="H202" s="22">
        <f>IF(OR(A202="",B202=""),"",IFERROR(INDEX('Their statement'!$E$2:$E$201,MATCH(B202,'Their statement'!$A$2:$A$201,0)),""))</f>
      </c>
      <c r="I202" s="19">
        <f>IF(A202="","",IF(B202="","No PO yet",IF(ISNUMBER(MATCH(B202,'Their statement'!$A$2:$A$201,0)),IF(AND(ROUND(F202-IF(H202="",0,H202),2)=0,OR(G202="",ROUND(E202-IF(G202="",0,G202),2)=0)),"Matches","Differs"),"Missing")))</f>
      </c>
      <c r="J202" s="22">
        <f>IF(OR(I202="Missing",I202="Differs"),F202-IF(H202="",0,H202),"")</f>
      </c>
      <c r="K202" s="10"/>
      <c r="L202" s="23">
        <f>IF(N202=1,SUM($N$10:N202),"")</f>
      </c>
      <c r="M202" s="24">
        <f>IF(N202=1,"Customer PO "&amp;B202&amp;" · "&amp;C202&amp;" · case "&amp;D202&amp;CHAR(10)&amp;"Sales "&amp;DOLLAR(E202,2)&amp;" · commission "&amp;DOLLAR(F202,2)&amp;CHAR(10)&amp;IF(I202="Missing","Not on your "&amp;Setup!$B$5&amp;" commission statement.","Your statement shows commission "&amp;DOLLAR(IF(H202="",0,H202),2)&amp;" (ours "&amp;DOLLAR(F202,2)&amp;")"&amp;IF(AND(G202&lt;&gt;"",ROUND(E202-IF(G202="",0,G202),2)&lt;&gt;0),"; sales price "&amp;DOLLAR(IF(G202="",0,G202),2)&amp;" (ours "&amp;DOLLAR(E202,2)&amp;")","")&amp;".")&amp;CHAR(10)&amp;IF('Our DOs'!G194&lt;&gt;"","We sent this Delivery Order"&amp;IF('Our DOs'!I194="Yes",", with the hospital's purchase order number,","")&amp;" on "&amp;'Our DOs'!G194&amp;IF('Our DOs'!H194&lt;&gt;""," by "&amp;LOWER('Our DOs'!H194),"")&amp;". The Delivery Order is available on request.","The Delivery Order is available on request."),"")</f>
      </c>
      <c r="N202" s="25">
        <f>IF(AND(OR(I202="Missing",I202="Differs"),K202&lt;&gt;"No"),1,0)</f>
      </c>
    </row>
    <row r="203" spans="1:14" x14ac:dyDescent="0.25">
      <c r="A203" s="19">
        <f>IF('Our DOs'!A195="","",'Our DOs'!A195)</f>
      </c>
      <c r="B203" s="19">
        <f>IF(A203="","",'Our DOs'!B195)</f>
      </c>
      <c r="C203" s="19">
        <f>IF(A203="","",'Our DOs'!C195)</f>
      </c>
      <c r="D203" s="19">
        <f>IF(A203="","",'Our DOs'!D195)</f>
      </c>
      <c r="E203" s="22">
        <f>IF(A203="","",'Our DOs'!E195)</f>
      </c>
      <c r="F203" s="22">
        <f>IF(A203="","",'Our DOs'!F195)</f>
      </c>
      <c r="G203" s="22">
        <f>IF(OR(A203="",B203=""),"",IFERROR(INDEX('Their statement'!$D$2:$D$201,MATCH(B203,'Their statement'!$A$2:$A$201,0)),""))</f>
      </c>
      <c r="H203" s="22">
        <f>IF(OR(A203="",B203=""),"",IFERROR(INDEX('Their statement'!$E$2:$E$201,MATCH(B203,'Their statement'!$A$2:$A$201,0)),""))</f>
      </c>
      <c r="I203" s="19">
        <f>IF(A203="","",IF(B203="","No PO yet",IF(ISNUMBER(MATCH(B203,'Their statement'!$A$2:$A$201,0)),IF(AND(ROUND(F203-IF(H203="",0,H203),2)=0,OR(G203="",ROUND(E203-IF(G203="",0,G203),2)=0)),"Matches","Differs"),"Missing")))</f>
      </c>
      <c r="J203" s="22">
        <f>IF(OR(I203="Missing",I203="Differs"),F203-IF(H203="",0,H203),"")</f>
      </c>
      <c r="K203" s="10"/>
      <c r="L203" s="23">
        <f>IF(N203=1,SUM($N$10:N203),"")</f>
      </c>
      <c r="M203" s="24">
        <f>IF(N203=1,"Customer PO "&amp;B203&amp;" · "&amp;C203&amp;" · case "&amp;D203&amp;CHAR(10)&amp;"Sales "&amp;DOLLAR(E203,2)&amp;" · commission "&amp;DOLLAR(F203,2)&amp;CHAR(10)&amp;IF(I203="Missing","Not on your "&amp;Setup!$B$5&amp;" commission statement.","Your statement shows commission "&amp;DOLLAR(IF(H203="",0,H203),2)&amp;" (ours "&amp;DOLLAR(F203,2)&amp;")"&amp;IF(AND(G203&lt;&gt;"",ROUND(E203-IF(G203="",0,G203),2)&lt;&gt;0),"; sales price "&amp;DOLLAR(IF(G203="",0,G203),2)&amp;" (ours "&amp;DOLLAR(E203,2)&amp;")","")&amp;".")&amp;CHAR(10)&amp;IF('Our DOs'!G195&lt;&gt;"","We sent this Delivery Order"&amp;IF('Our DOs'!I195="Yes",", with the hospital's purchase order number,","")&amp;" on "&amp;'Our DOs'!G195&amp;IF('Our DOs'!H195&lt;&gt;""," by "&amp;LOWER('Our DOs'!H195),"")&amp;". The Delivery Order is available on request.","The Delivery Order is available on request."),"")</f>
      </c>
      <c r="N203" s="25">
        <f>IF(AND(OR(I203="Missing",I203="Differs"),K203&lt;&gt;"No"),1,0)</f>
      </c>
    </row>
    <row r="204" spans="1:14" x14ac:dyDescent="0.25">
      <c r="A204" s="19">
        <f>IF('Our DOs'!A196="","",'Our DOs'!A196)</f>
      </c>
      <c r="B204" s="19">
        <f>IF(A204="","",'Our DOs'!B196)</f>
      </c>
      <c r="C204" s="19">
        <f>IF(A204="","",'Our DOs'!C196)</f>
      </c>
      <c r="D204" s="19">
        <f>IF(A204="","",'Our DOs'!D196)</f>
      </c>
      <c r="E204" s="22">
        <f>IF(A204="","",'Our DOs'!E196)</f>
      </c>
      <c r="F204" s="22">
        <f>IF(A204="","",'Our DOs'!F196)</f>
      </c>
      <c r="G204" s="22">
        <f>IF(OR(A204="",B204=""),"",IFERROR(INDEX('Their statement'!$D$2:$D$201,MATCH(B204,'Their statement'!$A$2:$A$201,0)),""))</f>
      </c>
      <c r="H204" s="22">
        <f>IF(OR(A204="",B204=""),"",IFERROR(INDEX('Their statement'!$E$2:$E$201,MATCH(B204,'Their statement'!$A$2:$A$201,0)),""))</f>
      </c>
      <c r="I204" s="19">
        <f>IF(A204="","",IF(B204="","No PO yet",IF(ISNUMBER(MATCH(B204,'Their statement'!$A$2:$A$201,0)),IF(AND(ROUND(F204-IF(H204="",0,H204),2)=0,OR(G204="",ROUND(E204-IF(G204="",0,G204),2)=0)),"Matches","Differs"),"Missing")))</f>
      </c>
      <c r="J204" s="22">
        <f>IF(OR(I204="Missing",I204="Differs"),F204-IF(H204="",0,H204),"")</f>
      </c>
      <c r="K204" s="10"/>
      <c r="L204" s="23">
        <f>IF(N204=1,SUM($N$10:N204),"")</f>
      </c>
      <c r="M204" s="24">
        <f>IF(N204=1,"Customer PO "&amp;B204&amp;" · "&amp;C204&amp;" · case "&amp;D204&amp;CHAR(10)&amp;"Sales "&amp;DOLLAR(E204,2)&amp;" · commission "&amp;DOLLAR(F204,2)&amp;CHAR(10)&amp;IF(I204="Missing","Not on your "&amp;Setup!$B$5&amp;" commission statement.","Your statement shows commission "&amp;DOLLAR(IF(H204="",0,H204),2)&amp;" (ours "&amp;DOLLAR(F204,2)&amp;")"&amp;IF(AND(G204&lt;&gt;"",ROUND(E204-IF(G204="",0,G204),2)&lt;&gt;0),"; sales price "&amp;DOLLAR(IF(G204="",0,G204),2)&amp;" (ours "&amp;DOLLAR(E204,2)&amp;")","")&amp;".")&amp;CHAR(10)&amp;IF('Our DOs'!G196&lt;&gt;"","We sent this Delivery Order"&amp;IF('Our DOs'!I196="Yes",", with the hospital's purchase order number,","")&amp;" on "&amp;'Our DOs'!G196&amp;IF('Our DOs'!H196&lt;&gt;""," by "&amp;LOWER('Our DOs'!H196),"")&amp;". The Delivery Order is available on request.","The Delivery Order is available on request."),"")</f>
      </c>
      <c r="N204" s="25">
        <f>IF(AND(OR(I204="Missing",I204="Differs"),K204&lt;&gt;"No"),1,0)</f>
      </c>
    </row>
    <row r="205" spans="1:14" x14ac:dyDescent="0.25">
      <c r="A205" s="19">
        <f>IF('Our DOs'!A197="","",'Our DOs'!A197)</f>
      </c>
      <c r="B205" s="19">
        <f>IF(A205="","",'Our DOs'!B197)</f>
      </c>
      <c r="C205" s="19">
        <f>IF(A205="","",'Our DOs'!C197)</f>
      </c>
      <c r="D205" s="19">
        <f>IF(A205="","",'Our DOs'!D197)</f>
      </c>
      <c r="E205" s="22">
        <f>IF(A205="","",'Our DOs'!E197)</f>
      </c>
      <c r="F205" s="22">
        <f>IF(A205="","",'Our DOs'!F197)</f>
      </c>
      <c r="G205" s="22">
        <f>IF(OR(A205="",B205=""),"",IFERROR(INDEX('Their statement'!$D$2:$D$201,MATCH(B205,'Their statement'!$A$2:$A$201,0)),""))</f>
      </c>
      <c r="H205" s="22">
        <f>IF(OR(A205="",B205=""),"",IFERROR(INDEX('Their statement'!$E$2:$E$201,MATCH(B205,'Their statement'!$A$2:$A$201,0)),""))</f>
      </c>
      <c r="I205" s="19">
        <f>IF(A205="","",IF(B205="","No PO yet",IF(ISNUMBER(MATCH(B205,'Their statement'!$A$2:$A$201,0)),IF(AND(ROUND(F205-IF(H205="",0,H205),2)=0,OR(G205="",ROUND(E205-IF(G205="",0,G205),2)=0)),"Matches","Differs"),"Missing")))</f>
      </c>
      <c r="J205" s="22">
        <f>IF(OR(I205="Missing",I205="Differs"),F205-IF(H205="",0,H205),"")</f>
      </c>
      <c r="K205" s="10"/>
      <c r="L205" s="23">
        <f>IF(N205=1,SUM($N$10:N205),"")</f>
      </c>
      <c r="M205" s="24">
        <f>IF(N205=1,"Customer PO "&amp;B205&amp;" · "&amp;C205&amp;" · case "&amp;D205&amp;CHAR(10)&amp;"Sales "&amp;DOLLAR(E205,2)&amp;" · commission "&amp;DOLLAR(F205,2)&amp;CHAR(10)&amp;IF(I205="Missing","Not on your "&amp;Setup!$B$5&amp;" commission statement.","Your statement shows commission "&amp;DOLLAR(IF(H205="",0,H205),2)&amp;" (ours "&amp;DOLLAR(F205,2)&amp;")"&amp;IF(AND(G205&lt;&gt;"",ROUND(E205-IF(G205="",0,G205),2)&lt;&gt;0),"; sales price "&amp;DOLLAR(IF(G205="",0,G205),2)&amp;" (ours "&amp;DOLLAR(E205,2)&amp;")","")&amp;".")&amp;CHAR(10)&amp;IF('Our DOs'!G197&lt;&gt;"","We sent this Delivery Order"&amp;IF('Our DOs'!I197="Yes",", with the hospital's purchase order number,","")&amp;" on "&amp;'Our DOs'!G197&amp;IF('Our DOs'!H197&lt;&gt;""," by "&amp;LOWER('Our DOs'!H197),"")&amp;". The Delivery Order is available on request.","The Delivery Order is available on request."),"")</f>
      </c>
      <c r="N205" s="25">
        <f>IF(AND(OR(I205="Missing",I205="Differs"),K205&lt;&gt;"No"),1,0)</f>
      </c>
    </row>
    <row r="206" spans="1:14" x14ac:dyDescent="0.25">
      <c r="A206" s="19">
        <f>IF('Our DOs'!A198="","",'Our DOs'!A198)</f>
      </c>
      <c r="B206" s="19">
        <f>IF(A206="","",'Our DOs'!B198)</f>
      </c>
      <c r="C206" s="19">
        <f>IF(A206="","",'Our DOs'!C198)</f>
      </c>
      <c r="D206" s="19">
        <f>IF(A206="","",'Our DOs'!D198)</f>
      </c>
      <c r="E206" s="22">
        <f>IF(A206="","",'Our DOs'!E198)</f>
      </c>
      <c r="F206" s="22">
        <f>IF(A206="","",'Our DOs'!F198)</f>
      </c>
      <c r="G206" s="22">
        <f>IF(OR(A206="",B206=""),"",IFERROR(INDEX('Their statement'!$D$2:$D$201,MATCH(B206,'Their statement'!$A$2:$A$201,0)),""))</f>
      </c>
      <c r="H206" s="22">
        <f>IF(OR(A206="",B206=""),"",IFERROR(INDEX('Their statement'!$E$2:$E$201,MATCH(B206,'Their statement'!$A$2:$A$201,0)),""))</f>
      </c>
      <c r="I206" s="19">
        <f>IF(A206="","",IF(B206="","No PO yet",IF(ISNUMBER(MATCH(B206,'Their statement'!$A$2:$A$201,0)),IF(AND(ROUND(F206-IF(H206="",0,H206),2)=0,OR(G206="",ROUND(E206-IF(G206="",0,G206),2)=0)),"Matches","Differs"),"Missing")))</f>
      </c>
      <c r="J206" s="22">
        <f>IF(OR(I206="Missing",I206="Differs"),F206-IF(H206="",0,H206),"")</f>
      </c>
      <c r="K206" s="10"/>
      <c r="L206" s="23">
        <f>IF(N206=1,SUM($N$10:N206),"")</f>
      </c>
      <c r="M206" s="24">
        <f>IF(N206=1,"Customer PO "&amp;B206&amp;" · "&amp;C206&amp;" · case "&amp;D206&amp;CHAR(10)&amp;"Sales "&amp;DOLLAR(E206,2)&amp;" · commission "&amp;DOLLAR(F206,2)&amp;CHAR(10)&amp;IF(I206="Missing","Not on your "&amp;Setup!$B$5&amp;" commission statement.","Your statement shows commission "&amp;DOLLAR(IF(H206="",0,H206),2)&amp;" (ours "&amp;DOLLAR(F206,2)&amp;")"&amp;IF(AND(G206&lt;&gt;"",ROUND(E206-IF(G206="",0,G206),2)&lt;&gt;0),"; sales price "&amp;DOLLAR(IF(G206="",0,G206),2)&amp;" (ours "&amp;DOLLAR(E206,2)&amp;")","")&amp;".")&amp;CHAR(10)&amp;IF('Our DOs'!G198&lt;&gt;"","We sent this Delivery Order"&amp;IF('Our DOs'!I198="Yes",", with the hospital's purchase order number,","")&amp;" on "&amp;'Our DOs'!G198&amp;IF('Our DOs'!H198&lt;&gt;""," by "&amp;LOWER('Our DOs'!H198),"")&amp;". The Delivery Order is available on request.","The Delivery Order is available on request."),"")</f>
      </c>
      <c r="N206" s="25">
        <f>IF(AND(OR(I206="Missing",I206="Differs"),K206&lt;&gt;"No"),1,0)</f>
      </c>
    </row>
    <row r="207" spans="1:14" x14ac:dyDescent="0.25">
      <c r="A207" s="19">
        <f>IF('Our DOs'!A199="","",'Our DOs'!A199)</f>
      </c>
      <c r="B207" s="19">
        <f>IF(A207="","",'Our DOs'!B199)</f>
      </c>
      <c r="C207" s="19">
        <f>IF(A207="","",'Our DOs'!C199)</f>
      </c>
      <c r="D207" s="19">
        <f>IF(A207="","",'Our DOs'!D199)</f>
      </c>
      <c r="E207" s="22">
        <f>IF(A207="","",'Our DOs'!E199)</f>
      </c>
      <c r="F207" s="22">
        <f>IF(A207="","",'Our DOs'!F199)</f>
      </c>
      <c r="G207" s="22">
        <f>IF(OR(A207="",B207=""),"",IFERROR(INDEX('Their statement'!$D$2:$D$201,MATCH(B207,'Their statement'!$A$2:$A$201,0)),""))</f>
      </c>
      <c r="H207" s="22">
        <f>IF(OR(A207="",B207=""),"",IFERROR(INDEX('Their statement'!$E$2:$E$201,MATCH(B207,'Their statement'!$A$2:$A$201,0)),""))</f>
      </c>
      <c r="I207" s="19">
        <f>IF(A207="","",IF(B207="","No PO yet",IF(ISNUMBER(MATCH(B207,'Their statement'!$A$2:$A$201,0)),IF(AND(ROUND(F207-IF(H207="",0,H207),2)=0,OR(G207="",ROUND(E207-IF(G207="",0,G207),2)=0)),"Matches","Differs"),"Missing")))</f>
      </c>
      <c r="J207" s="22">
        <f>IF(OR(I207="Missing",I207="Differs"),F207-IF(H207="",0,H207),"")</f>
      </c>
      <c r="K207" s="10"/>
      <c r="L207" s="23">
        <f>IF(N207=1,SUM($N$10:N207),"")</f>
      </c>
      <c r="M207" s="24">
        <f>IF(N207=1,"Customer PO "&amp;B207&amp;" · "&amp;C207&amp;" · case "&amp;D207&amp;CHAR(10)&amp;"Sales "&amp;DOLLAR(E207,2)&amp;" · commission "&amp;DOLLAR(F207,2)&amp;CHAR(10)&amp;IF(I207="Missing","Not on your "&amp;Setup!$B$5&amp;" commission statement.","Your statement shows commission "&amp;DOLLAR(IF(H207="",0,H207),2)&amp;" (ours "&amp;DOLLAR(F207,2)&amp;")"&amp;IF(AND(G207&lt;&gt;"",ROUND(E207-IF(G207="",0,G207),2)&lt;&gt;0),"; sales price "&amp;DOLLAR(IF(G207="",0,G207),2)&amp;" (ours "&amp;DOLLAR(E207,2)&amp;")","")&amp;".")&amp;CHAR(10)&amp;IF('Our DOs'!G199&lt;&gt;"","We sent this Delivery Order"&amp;IF('Our DOs'!I199="Yes",", with the hospital's purchase order number,","")&amp;" on "&amp;'Our DOs'!G199&amp;IF('Our DOs'!H199&lt;&gt;""," by "&amp;LOWER('Our DOs'!H199),"")&amp;". The Delivery Order is available on request.","The Delivery Order is available on request."),"")</f>
      </c>
      <c r="N207" s="25">
        <f>IF(AND(OR(I207="Missing",I207="Differs"),K207&lt;&gt;"No"),1,0)</f>
      </c>
    </row>
    <row r="208" spans="1:14" x14ac:dyDescent="0.25">
      <c r="A208" s="19">
        <f>IF('Our DOs'!A200="","",'Our DOs'!A200)</f>
      </c>
      <c r="B208" s="19">
        <f>IF(A208="","",'Our DOs'!B200)</f>
      </c>
      <c r="C208" s="19">
        <f>IF(A208="","",'Our DOs'!C200)</f>
      </c>
      <c r="D208" s="19">
        <f>IF(A208="","",'Our DOs'!D200)</f>
      </c>
      <c r="E208" s="22">
        <f>IF(A208="","",'Our DOs'!E200)</f>
      </c>
      <c r="F208" s="22">
        <f>IF(A208="","",'Our DOs'!F200)</f>
      </c>
      <c r="G208" s="22">
        <f>IF(OR(A208="",B208=""),"",IFERROR(INDEX('Their statement'!$D$2:$D$201,MATCH(B208,'Their statement'!$A$2:$A$201,0)),""))</f>
      </c>
      <c r="H208" s="22">
        <f>IF(OR(A208="",B208=""),"",IFERROR(INDEX('Their statement'!$E$2:$E$201,MATCH(B208,'Their statement'!$A$2:$A$201,0)),""))</f>
      </c>
      <c r="I208" s="19">
        <f>IF(A208="","",IF(B208="","No PO yet",IF(ISNUMBER(MATCH(B208,'Their statement'!$A$2:$A$201,0)),IF(AND(ROUND(F208-IF(H208="",0,H208),2)=0,OR(G208="",ROUND(E208-IF(G208="",0,G208),2)=0)),"Matches","Differs"),"Missing")))</f>
      </c>
      <c r="J208" s="22">
        <f>IF(OR(I208="Missing",I208="Differs"),F208-IF(H208="",0,H208),"")</f>
      </c>
      <c r="K208" s="10"/>
      <c r="L208" s="23">
        <f>IF(N208=1,SUM($N$10:N208),"")</f>
      </c>
      <c r="M208" s="24">
        <f>IF(N208=1,"Customer PO "&amp;B208&amp;" · "&amp;C208&amp;" · case "&amp;D208&amp;CHAR(10)&amp;"Sales "&amp;DOLLAR(E208,2)&amp;" · commission "&amp;DOLLAR(F208,2)&amp;CHAR(10)&amp;IF(I208="Missing","Not on your "&amp;Setup!$B$5&amp;" commission statement.","Your statement shows commission "&amp;DOLLAR(IF(H208="",0,H208),2)&amp;" (ours "&amp;DOLLAR(F208,2)&amp;")"&amp;IF(AND(G208&lt;&gt;"",ROUND(E208-IF(G208="",0,G208),2)&lt;&gt;0),"; sales price "&amp;DOLLAR(IF(G208="",0,G208),2)&amp;" (ours "&amp;DOLLAR(E208,2)&amp;")","")&amp;".")&amp;CHAR(10)&amp;IF('Our DOs'!G200&lt;&gt;"","We sent this Delivery Order"&amp;IF('Our DOs'!I200="Yes",", with the hospital's purchase order number,","")&amp;" on "&amp;'Our DOs'!G200&amp;IF('Our DOs'!H200&lt;&gt;""," by "&amp;LOWER('Our DOs'!H200),"")&amp;". The Delivery Order is available on request.","The Delivery Order is available on request."),"")</f>
      </c>
      <c r="N208" s="25">
        <f>IF(AND(OR(I208="Missing",I208="Differs"),K208&lt;&gt;"No"),1,0)</f>
      </c>
    </row>
    <row r="209" spans="1:14" x14ac:dyDescent="0.25">
      <c r="A209" s="19">
        <f>IF('Our DOs'!A201="","",'Our DOs'!A201)</f>
      </c>
      <c r="B209" s="19">
        <f>IF(A209="","",'Our DOs'!B201)</f>
      </c>
      <c r="C209" s="19">
        <f>IF(A209="","",'Our DOs'!C201)</f>
      </c>
      <c r="D209" s="19">
        <f>IF(A209="","",'Our DOs'!D201)</f>
      </c>
      <c r="E209" s="22">
        <f>IF(A209="","",'Our DOs'!E201)</f>
      </c>
      <c r="F209" s="22">
        <f>IF(A209="","",'Our DOs'!F201)</f>
      </c>
      <c r="G209" s="22">
        <f>IF(OR(A209="",B209=""),"",IFERROR(INDEX('Their statement'!$D$2:$D$201,MATCH(B209,'Their statement'!$A$2:$A$201,0)),""))</f>
      </c>
      <c r="H209" s="22">
        <f>IF(OR(A209="",B209=""),"",IFERROR(INDEX('Their statement'!$E$2:$E$201,MATCH(B209,'Their statement'!$A$2:$A$201,0)),""))</f>
      </c>
      <c r="I209" s="19">
        <f>IF(A209="","",IF(B209="","No PO yet",IF(ISNUMBER(MATCH(B209,'Their statement'!$A$2:$A$201,0)),IF(AND(ROUND(F209-IF(H209="",0,H209),2)=0,OR(G209="",ROUND(E209-IF(G209="",0,G209),2)=0)),"Matches","Differs"),"Missing")))</f>
      </c>
      <c r="J209" s="22">
        <f>IF(OR(I209="Missing",I209="Differs"),F209-IF(H209="",0,H209),"")</f>
      </c>
      <c r="K209" s="10"/>
      <c r="L209" s="23">
        <f>IF(N209=1,SUM($N$10:N209),"")</f>
      </c>
      <c r="M209" s="24">
        <f>IF(N209=1,"Customer PO "&amp;B209&amp;" · "&amp;C209&amp;" · case "&amp;D209&amp;CHAR(10)&amp;"Sales "&amp;DOLLAR(E209,2)&amp;" · commission "&amp;DOLLAR(F209,2)&amp;CHAR(10)&amp;IF(I209="Missing","Not on your "&amp;Setup!$B$5&amp;" commission statement.","Your statement shows commission "&amp;DOLLAR(IF(H209="",0,H209),2)&amp;" (ours "&amp;DOLLAR(F209,2)&amp;")"&amp;IF(AND(G209&lt;&gt;"",ROUND(E209-IF(G209="",0,G209),2)&lt;&gt;0),"; sales price "&amp;DOLLAR(IF(G209="",0,G209),2)&amp;" (ours "&amp;DOLLAR(E209,2)&amp;")","")&amp;".")&amp;CHAR(10)&amp;IF('Our DOs'!G201&lt;&gt;"","We sent this Delivery Order"&amp;IF('Our DOs'!I201="Yes",", with the hospital's purchase order number,","")&amp;" on "&amp;'Our DOs'!G201&amp;IF('Our DOs'!H201&lt;&gt;""," by "&amp;LOWER('Our DOs'!H201),"")&amp;". The Delivery Order is available on request.","The Delivery Order is available on request."),"")</f>
      </c>
      <c r="N209" s="25">
        <f>IF(AND(OR(I209="Missing",I209="Differs"),K209&lt;&gt;"No"),1,0)</f>
      </c>
    </row>
  </sheetData>
  <conditionalFormatting sqref="I10:I209">
    <cfRule type="containsText" dxfId="0" priority="1">
      <formula>NOT(ISERROR(SEARCH("Missing",I10)))</formula>
    </cfRule>
    <cfRule type="containsText" dxfId="1" priority="2">
      <formula>NOT(ISERROR(SEARCH("Differs",I10)))</formula>
    </cfRule>
    <cfRule type="containsText" dxfId="2" priority="3">
      <formula>NOT(ISERROR(SEARCH("Matches",I10)))</formula>
    </cfRule>
  </conditionalFormatting>
  <dataValidations count="1">
    <dataValidation type="list" allowBlank="1" showErrorMessage="1" error="Pick one of: Yes, No" sqref="K10:K209">
      <formula1>"Yes,No"</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workbookViewId="0" showGridLines="0"/>
  </sheetViews>
  <sheetFormatPr defaultRowHeight="15" outlineLevelRow="0" outlineLevelCol="0" x14ac:dyDescent="55"/>
  <cols>
    <col min="1" max="1" width="6" customWidth="1"/>
    <col min="2" max="2" width="100" customWidth="1"/>
  </cols>
  <sheetData>
    <row r="1" ht="26" customHeight="1" spans="1:1" x14ac:dyDescent="0.25">
      <c r="A1" s="7" t="s">
        <v>92</v>
      </c>
    </row>
    <row r="2" spans="1:1" x14ac:dyDescent="0.25">
      <c r="A2" s="8" t="s">
        <v>93</v>
      </c>
    </row>
    <row r="4" spans="1:2" x14ac:dyDescent="0.25">
      <c r="A4" s="26" t="s">
        <v>94</v>
      </c>
      <c r="B4" s="10" t="s">
        <v>95</v>
      </c>
    </row>
    <row r="5" spans="1:2" x14ac:dyDescent="0.25">
      <c r="A5" s="26" t="s">
        <v>96</v>
      </c>
      <c r="B5" s="27">
        <f>Setup!$B$3&amp;" — "&amp;Setup!$B$5&amp;" commission statement: "&amp;Reconcile!$B$4&amp;" line"&amp;IF(Reconcile!$B$4=1,"","s")&amp;" to review"</f>
      </c>
    </row>
    <row r="7" ht="96" customHeight="1" spans="1:2" x14ac:dyDescent="0.25">
      <c r="A7" s="26" t="s">
        <v>97</v>
      </c>
      <c r="B7" s="3">
        <f>"Hello,"&amp;CHAR(10)&amp;CHAR(10)&amp;"We reconciled your "&amp;Setup!$B$5&amp;" commission statement against our Delivery Orders and found "&amp;IF(COUNTIFS(Reconcile!$I$10:$I$209,"Missing",Reconcile!$N$10:$N$209,1)&gt;0,COUNTIFS(Reconcile!$I$10:$I$209,"Missing",Reconcile!$N$10:$N$209,1)&amp;" Delivery Order"&amp;IF(COUNTIFS(Reconcile!$I$10:$I$209,"Missing",Reconcile!$N$10:$N$209,1)=1," that isn't","s that aren't")&amp;" on your "&amp;Setup!$B$5&amp;" commission statement","")&amp;IF(AND(COUNTIFS(Reconcile!$I$10:$I$209,"Missing",Reconcile!$N$10:$N$209,1)&gt;0,COUNTIFS(Reconcile!$I$10:$I$209,"Differs",Reconcile!$N$10:$N$209,1)&gt;0),", and ","")&amp;IF(COUNTIFS(Reconcile!$I$10:$I$209,"Differs",Reconcile!$N$10:$N$209,1)&gt;0,COUNTIFS(Reconcile!$I$10:$I$209,"Differs",Reconcile!$N$10:$N$209,1)&amp;" where your figures differ from ours","")&amp;". Each one is listed below with the Customer PO, what we expected, and when we sent it to you."&amp;CHAR(10)&amp;CHAR(10)&amp;"Could you review these and let us know when they will be corrected or added? Thank you."</f>
      </c>
    </row>
    <row r="9" ht="64" customHeight="1" spans="1:2" x14ac:dyDescent="0.25">
      <c r="A9" s="28">
        <f>IF(B9="","",1&amp;".")</f>
      </c>
      <c r="B9" s="3">
        <f>IFERROR(INDEX(Reconcile!$M$10:$M$209,MATCH(1,Reconcile!$L$10:$L$209,0)),"")</f>
      </c>
    </row>
    <row r="10" ht="64" customHeight="1" spans="1:2" x14ac:dyDescent="0.25">
      <c r="A10" s="28">
        <f>IF(B10="","",2&amp;".")</f>
      </c>
      <c r="B10" s="3">
        <f>IFERROR(INDEX(Reconcile!$M$10:$M$209,MATCH(2,Reconcile!$L$10:$L$209,0)),"")</f>
      </c>
    </row>
    <row r="11" ht="64" customHeight="1" spans="1:2" x14ac:dyDescent="0.25">
      <c r="A11" s="28">
        <f>IF(B11="","",3&amp;".")</f>
      </c>
      <c r="B11" s="3">
        <f>IFERROR(INDEX(Reconcile!$M$10:$M$209,MATCH(3,Reconcile!$L$10:$L$209,0)),"")</f>
      </c>
    </row>
    <row r="12" ht="64" customHeight="1" spans="1:2" x14ac:dyDescent="0.25">
      <c r="A12" s="28">
        <f>IF(B12="","",4&amp;".")</f>
      </c>
      <c r="B12" s="3">
        <f>IFERROR(INDEX(Reconcile!$M$10:$M$209,MATCH(4,Reconcile!$L$10:$L$209,0)),"")</f>
      </c>
    </row>
    <row r="13" ht="64" customHeight="1" spans="1:2" x14ac:dyDescent="0.25">
      <c r="A13" s="28">
        <f>IF(B13="","",5&amp;".")</f>
      </c>
      <c r="B13" s="3">
        <f>IFERROR(INDEX(Reconcile!$M$10:$M$209,MATCH(5,Reconcile!$L$10:$L$209,0)),"")</f>
      </c>
    </row>
    <row r="14" ht="64" customHeight="1" spans="1:2" x14ac:dyDescent="0.25">
      <c r="A14" s="28">
        <f>IF(B14="","",6&amp;".")</f>
      </c>
      <c r="B14" s="3">
        <f>IFERROR(INDEX(Reconcile!$M$10:$M$209,MATCH(6,Reconcile!$L$10:$L$209,0)),"")</f>
      </c>
    </row>
    <row r="15" ht="64" customHeight="1" spans="1:2" x14ac:dyDescent="0.25">
      <c r="A15" s="28">
        <f>IF(B15="","",7&amp;".")</f>
      </c>
      <c r="B15" s="3">
        <f>IFERROR(INDEX(Reconcile!$M$10:$M$209,MATCH(7,Reconcile!$L$10:$L$209,0)),"")</f>
      </c>
    </row>
    <row r="16" ht="64" customHeight="1" spans="1:2" x14ac:dyDescent="0.25">
      <c r="A16" s="28">
        <f>IF(B16="","",8&amp;".")</f>
      </c>
      <c r="B16" s="3">
        <f>IFERROR(INDEX(Reconcile!$M$10:$M$209,MATCH(8,Reconcile!$L$10:$L$209,0)),"")</f>
      </c>
    </row>
    <row r="17" ht="64" customHeight="1" spans="1:2" x14ac:dyDescent="0.25">
      <c r="A17" s="28">
        <f>IF(B17="","",9&amp;".")</f>
      </c>
      <c r="B17" s="3">
        <f>IFERROR(INDEX(Reconcile!$M$10:$M$209,MATCH(9,Reconcile!$L$10:$L$209,0)),"")</f>
      </c>
    </row>
    <row r="18" ht="64" customHeight="1" spans="1:2" x14ac:dyDescent="0.25">
      <c r="A18" s="28">
        <f>IF(B18="","",10&amp;".")</f>
      </c>
      <c r="B18" s="3">
        <f>IFERROR(INDEX(Reconcile!$M$10:$M$209,MATCH(10,Reconcile!$L$10:$L$209,0)),"")</f>
      </c>
    </row>
    <row r="19" ht="64" customHeight="1" spans="1:2" x14ac:dyDescent="0.25">
      <c r="A19" s="28">
        <f>IF(B19="","",11&amp;".")</f>
      </c>
      <c r="B19" s="3">
        <f>IFERROR(INDEX(Reconcile!$M$10:$M$209,MATCH(11,Reconcile!$L$10:$L$209,0)),"")</f>
      </c>
    </row>
    <row r="20" ht="64" customHeight="1" spans="1:2" x14ac:dyDescent="0.25">
      <c r="A20" s="28">
        <f>IF(B20="","",12&amp;".")</f>
      </c>
      <c r="B20" s="3">
        <f>IFERROR(INDEX(Reconcile!$M$10:$M$209,MATCH(12,Reconcile!$L$10:$L$209,0)),"")</f>
      </c>
    </row>
    <row r="21" ht="64" customHeight="1" spans="1:2" x14ac:dyDescent="0.25">
      <c r="A21" s="28">
        <f>IF(B21="","",13&amp;".")</f>
      </c>
      <c r="B21" s="3">
        <f>IFERROR(INDEX(Reconcile!$M$10:$M$209,MATCH(13,Reconcile!$L$10:$L$209,0)),"")</f>
      </c>
    </row>
    <row r="22" ht="64" customHeight="1" spans="1:2" x14ac:dyDescent="0.25">
      <c r="A22" s="28">
        <f>IF(B22="","",14&amp;".")</f>
      </c>
      <c r="B22" s="3">
        <f>IFERROR(INDEX(Reconcile!$M$10:$M$209,MATCH(14,Reconcile!$L$10:$L$209,0)),"")</f>
      </c>
    </row>
    <row r="23" ht="64" customHeight="1" spans="1:2" x14ac:dyDescent="0.25">
      <c r="A23" s="28">
        <f>IF(B23="","",15&amp;".")</f>
      </c>
      <c r="B23" s="3">
        <f>IFERROR(INDEX(Reconcile!$M$10:$M$209,MATCH(15,Reconcile!$L$10:$L$209,0)),"")</f>
      </c>
    </row>
    <row r="24" ht="64" customHeight="1" spans="1:2" x14ac:dyDescent="0.25">
      <c r="A24" s="28">
        <f>IF(B24="","",16&amp;".")</f>
      </c>
      <c r="B24" s="3">
        <f>IFERROR(INDEX(Reconcile!$M$10:$M$209,MATCH(16,Reconcile!$L$10:$L$209,0)),"")</f>
      </c>
    </row>
    <row r="25" ht="64" customHeight="1" spans="1:2" x14ac:dyDescent="0.25">
      <c r="A25" s="28">
        <f>IF(B25="","",17&amp;".")</f>
      </c>
      <c r="B25" s="3">
        <f>IFERROR(INDEX(Reconcile!$M$10:$M$209,MATCH(17,Reconcile!$L$10:$L$209,0)),"")</f>
      </c>
    </row>
    <row r="26" ht="64" customHeight="1" spans="1:2" x14ac:dyDescent="0.25">
      <c r="A26" s="28">
        <f>IF(B26="","",18&amp;".")</f>
      </c>
      <c r="B26" s="3">
        <f>IFERROR(INDEX(Reconcile!$M$10:$M$209,MATCH(18,Reconcile!$L$10:$L$209,0)),"")</f>
      </c>
    </row>
    <row r="27" ht="64" customHeight="1" spans="1:2" x14ac:dyDescent="0.25">
      <c r="A27" s="28">
        <f>IF(B27="","",19&amp;".")</f>
      </c>
      <c r="B27" s="3">
        <f>IFERROR(INDEX(Reconcile!$M$10:$M$209,MATCH(19,Reconcile!$L$10:$L$209,0)),"")</f>
      </c>
    </row>
    <row r="28" ht="64" customHeight="1" spans="1:2" x14ac:dyDescent="0.25">
      <c r="A28" s="28">
        <f>IF(B28="","",20&amp;".")</f>
      </c>
      <c r="B28" s="3">
        <f>IFERROR(INDEX(Reconcile!$M$10:$M$209,MATCH(20,Reconcile!$L$10:$L$209,0)),"")</f>
      </c>
    </row>
    <row r="29" ht="64" customHeight="1" spans="1:2" x14ac:dyDescent="0.25">
      <c r="A29" s="28">
        <f>IF(B29="","",21&amp;".")</f>
      </c>
      <c r="B29" s="3">
        <f>IFERROR(INDEX(Reconcile!$M$10:$M$209,MATCH(21,Reconcile!$L$10:$L$209,0)),"")</f>
      </c>
    </row>
    <row r="30" ht="64" customHeight="1" spans="1:2" x14ac:dyDescent="0.25">
      <c r="A30" s="28">
        <f>IF(B30="","",22&amp;".")</f>
      </c>
      <c r="B30" s="3">
        <f>IFERROR(INDEX(Reconcile!$M$10:$M$209,MATCH(22,Reconcile!$L$10:$L$209,0)),"")</f>
      </c>
    </row>
    <row r="31" ht="64" customHeight="1" spans="1:2" x14ac:dyDescent="0.25">
      <c r="A31" s="28">
        <f>IF(B31="","",23&amp;".")</f>
      </c>
      <c r="B31" s="3">
        <f>IFERROR(INDEX(Reconcile!$M$10:$M$209,MATCH(23,Reconcile!$L$10:$L$209,0)),"")</f>
      </c>
    </row>
    <row r="32" ht="64" customHeight="1" spans="1:2" x14ac:dyDescent="0.25">
      <c r="A32" s="28">
        <f>IF(B32="","",24&amp;".")</f>
      </c>
      <c r="B32" s="3">
        <f>IFERROR(INDEX(Reconcile!$M$10:$M$209,MATCH(24,Reconcile!$L$10:$L$209,0)),"")</f>
      </c>
    </row>
    <row r="33" ht="64" customHeight="1" spans="1:2" x14ac:dyDescent="0.25">
      <c r="A33" s="28">
        <f>IF(B33="","",25&amp;".")</f>
      </c>
      <c r="B33" s="3">
        <f>IFERROR(INDEX(Reconcile!$M$10:$M$209,MATCH(25,Reconcile!$L$10:$L$209,0)),"")</f>
      </c>
    </row>
    <row r="34" ht="64" customHeight="1" spans="1:2" x14ac:dyDescent="0.25">
      <c r="A34" s="28">
        <f>IF(B34="","",26&amp;".")</f>
      </c>
      <c r="B34" s="3">
        <f>IFERROR(INDEX(Reconcile!$M$10:$M$209,MATCH(26,Reconcile!$L$10:$L$209,0)),"")</f>
      </c>
    </row>
    <row r="35" ht="64" customHeight="1" spans="1:2" x14ac:dyDescent="0.25">
      <c r="A35" s="28">
        <f>IF(B35="","",27&amp;".")</f>
      </c>
      <c r="B35" s="3">
        <f>IFERROR(INDEX(Reconcile!$M$10:$M$209,MATCH(27,Reconcile!$L$10:$L$209,0)),"")</f>
      </c>
    </row>
    <row r="36" ht="64" customHeight="1" spans="1:2" x14ac:dyDescent="0.25">
      <c r="A36" s="28">
        <f>IF(B36="","",28&amp;".")</f>
      </c>
      <c r="B36" s="3">
        <f>IFERROR(INDEX(Reconcile!$M$10:$M$209,MATCH(28,Reconcile!$L$10:$L$209,0)),"")</f>
      </c>
    </row>
    <row r="37" ht="64" customHeight="1" spans="1:2" x14ac:dyDescent="0.25">
      <c r="A37" s="28">
        <f>IF(B37="","",29&amp;".")</f>
      </c>
      <c r="B37" s="3">
        <f>IFERROR(INDEX(Reconcile!$M$10:$M$209,MATCH(29,Reconcile!$L$10:$L$209,0)),"")</f>
      </c>
    </row>
    <row r="38" ht="64" customHeight="1" spans="1:2" x14ac:dyDescent="0.25">
      <c r="A38" s="28">
        <f>IF(B38="","",30&amp;".")</f>
      </c>
      <c r="B38" s="3">
        <f>IFERROR(INDEX(Reconcile!$M$10:$M$209,MATCH(30,Reconcile!$L$10:$L$209,0)),"")</f>
      </c>
    </row>
    <row r="39" ht="64" customHeight="1" spans="1:2" x14ac:dyDescent="0.25">
      <c r="A39" s="28">
        <f>IF(B39="","",31&amp;".")</f>
      </c>
      <c r="B39" s="3">
        <f>IFERROR(INDEX(Reconcile!$M$10:$M$209,MATCH(31,Reconcile!$L$10:$L$209,0)),"")</f>
      </c>
    </row>
    <row r="40" ht="64" customHeight="1" spans="1:2" x14ac:dyDescent="0.25">
      <c r="A40" s="28">
        <f>IF(B40="","",32&amp;".")</f>
      </c>
      <c r="B40" s="3">
        <f>IFERROR(INDEX(Reconcile!$M$10:$M$209,MATCH(32,Reconcile!$L$10:$L$209,0)),"")</f>
      </c>
    </row>
    <row r="41" ht="64" customHeight="1" spans="1:2" x14ac:dyDescent="0.25">
      <c r="A41" s="28">
        <f>IF(B41="","",33&amp;".")</f>
      </c>
      <c r="B41" s="3">
        <f>IFERROR(INDEX(Reconcile!$M$10:$M$209,MATCH(33,Reconcile!$L$10:$L$209,0)),"")</f>
      </c>
    </row>
    <row r="42" ht="64" customHeight="1" spans="1:2" x14ac:dyDescent="0.25">
      <c r="A42" s="28">
        <f>IF(B42="","",34&amp;".")</f>
      </c>
      <c r="B42" s="3">
        <f>IFERROR(INDEX(Reconcile!$M$10:$M$209,MATCH(34,Reconcile!$L$10:$L$209,0)),"")</f>
      </c>
    </row>
    <row r="43" ht="64" customHeight="1" spans="1:2" x14ac:dyDescent="0.25">
      <c r="A43" s="28">
        <f>IF(B43="","",35&amp;".")</f>
      </c>
      <c r="B43" s="3">
        <f>IFERROR(INDEX(Reconcile!$M$10:$M$209,MATCH(35,Reconcile!$L$10:$L$209,0)),"")</f>
      </c>
    </row>
    <row r="44" ht="64" customHeight="1" spans="1:2" x14ac:dyDescent="0.25">
      <c r="A44" s="28">
        <f>IF(B44="","",36&amp;".")</f>
      </c>
      <c r="B44" s="3">
        <f>IFERROR(INDEX(Reconcile!$M$10:$M$209,MATCH(36,Reconcile!$L$10:$L$209,0)),"")</f>
      </c>
    </row>
    <row r="45" ht="64" customHeight="1" spans="1:2" x14ac:dyDescent="0.25">
      <c r="A45" s="28">
        <f>IF(B45="","",37&amp;".")</f>
      </c>
      <c r="B45" s="3">
        <f>IFERROR(INDEX(Reconcile!$M$10:$M$209,MATCH(37,Reconcile!$L$10:$L$209,0)),"")</f>
      </c>
    </row>
    <row r="46" ht="64" customHeight="1" spans="1:2" x14ac:dyDescent="0.25">
      <c r="A46" s="28">
        <f>IF(B46="","",38&amp;".")</f>
      </c>
      <c r="B46" s="3">
        <f>IFERROR(INDEX(Reconcile!$M$10:$M$209,MATCH(38,Reconcile!$L$10:$L$209,0)),"")</f>
      </c>
    </row>
    <row r="47" ht="64" customHeight="1" spans="1:2" x14ac:dyDescent="0.25">
      <c r="A47" s="28">
        <f>IF(B47="","",39&amp;".")</f>
      </c>
      <c r="B47" s="3">
        <f>IFERROR(INDEX(Reconcile!$M$10:$M$209,MATCH(39,Reconcile!$L$10:$L$209,0)),"")</f>
      </c>
    </row>
    <row r="48" ht="64" customHeight="1" spans="1:2" x14ac:dyDescent="0.25">
      <c r="A48" s="28">
        <f>IF(B48="","",40&amp;".")</f>
      </c>
      <c r="B48" s="3">
        <f>IFERROR(INDEX(Reconcile!$M$10:$M$209,MATCH(40,Reconcile!$L$10:$L$209,0)),"")</f>
      </c>
    </row>
    <row r="50" ht="64" customHeight="1" spans="2:2" x14ac:dyDescent="0.25">
      <c r="B50" s="3">
        <f>"Thank you,"&amp;CHAR(10)&amp;Setup!$B$7&amp;CHAR(10)&amp;Setup!$B$3&amp;CHAR(10)&amp;Setup!$B$6</f>
      </c>
    </row>
    <row r="52" ht="56" customHeight="1" spans="2:2" x14ac:dyDescent="0.25">
      <c r="B52" s="29" t="s">
        <v>98</v>
      </c>
    </row>
    <row r="54" spans="1:1" x14ac:dyDescent="0.25">
      <c r="A54" s="12" t="s">
        <v>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9"/>
  <sheetViews>
    <sheetView workbookViewId="0">
      <pane ySplit="9" topLeftCell="A10" activePane="bottomLeft" state="frozen"/>
      <selection pane="bottomLeft"/>
    </sheetView>
  </sheetViews>
  <sheetFormatPr defaultRowHeight="15" outlineLevelRow="0" outlineLevelCol="0" x14ac:dyDescent="55"/>
  <cols>
    <col min="1" max="1" width="18" customWidth="1"/>
    <col min="2" max="2" width="22" customWidth="1"/>
    <col min="3" max="3" width="16" customWidth="1"/>
    <col min="4" max="4" width="14" customWidth="1"/>
    <col min="5" max="5" width="16" customWidth="1"/>
    <col min="6" max="6" width="12" customWidth="1"/>
    <col min="7" max="7" width="16" customWidth="1"/>
    <col min="8" max="8" width="18" customWidth="1"/>
  </cols>
  <sheetData>
    <row r="1" ht="26" customHeight="1" spans="1:1" x14ac:dyDescent="0.25">
      <c r="A1" s="7" t="s">
        <v>99</v>
      </c>
    </row>
    <row r="2" spans="1:1" x14ac:dyDescent="0.25">
      <c r="A2" s="8" t="s">
        <v>100</v>
      </c>
    </row>
    <row r="3" spans="1:2" x14ac:dyDescent="0.25">
      <c r="A3" s="9" t="s">
        <v>101</v>
      </c>
      <c r="B3" s="20">
        <f>COUNTIF(F10:F409,"Open")</f>
      </c>
    </row>
    <row r="4" spans="1:2" x14ac:dyDescent="0.25">
      <c r="A4" s="9" t="s">
        <v>102</v>
      </c>
      <c r="B4" s="21">
        <f>SUMIF(F10:F409,"Open",E10:E409)</f>
      </c>
    </row>
    <row r="5" spans="1:2" x14ac:dyDescent="0.25">
      <c r="A5" s="9" t="s">
        <v>103</v>
      </c>
      <c r="B5" s="21">
        <f>SUM(E10:E409)</f>
      </c>
    </row>
    <row r="6" spans="1:2" x14ac:dyDescent="0.25">
      <c r="A6" s="9" t="s">
        <v>104</v>
      </c>
      <c r="B6" s="21">
        <f>SUM(G10:G409)</f>
      </c>
    </row>
    <row r="7" spans="1:2" x14ac:dyDescent="0.25">
      <c r="A7" s="9" t="s">
        <v>105</v>
      </c>
      <c r="B7" s="30">
        <f>IF(SUM(E10:E409)=0,"",SUM(G10:G409)/SUM(E10:E409))</f>
      </c>
    </row>
    <row r="9" ht="32" customHeight="1" spans="1:8" x14ac:dyDescent="0.25">
      <c r="A9" s="13" t="s">
        <v>106</v>
      </c>
      <c r="B9" s="13" t="s">
        <v>25</v>
      </c>
      <c r="C9" s="13" t="s">
        <v>28</v>
      </c>
      <c r="D9" s="13" t="s">
        <v>38</v>
      </c>
      <c r="E9" s="13" t="s">
        <v>107</v>
      </c>
      <c r="F9" s="13" t="s">
        <v>86</v>
      </c>
      <c r="G9" s="13" t="s">
        <v>108</v>
      </c>
      <c r="H9" s="13" t="s">
        <v>109</v>
      </c>
    </row>
    <row r="10" spans="1:8" x14ac:dyDescent="0.25">
      <c r="A10" s="15" t="s">
        <v>110</v>
      </c>
      <c r="B10" s="14" t="s">
        <v>26</v>
      </c>
      <c r="C10" s="14" t="s">
        <v>29</v>
      </c>
      <c r="D10" s="14" t="s">
        <v>54</v>
      </c>
      <c r="E10" s="16">
        <v>615</v>
      </c>
      <c r="F10" s="14" t="s">
        <v>111</v>
      </c>
      <c r="G10" s="16"/>
      <c r="H10" s="15" t="s">
        <v>2</v>
      </c>
    </row>
    <row r="11" spans="1:8" x14ac:dyDescent="0.25">
      <c r="A11" s="17"/>
      <c r="B11" s="10"/>
      <c r="C11" s="10"/>
      <c r="D11" s="10"/>
      <c r="E11" s="18"/>
      <c r="F11" s="10"/>
      <c r="G11" s="18"/>
      <c r="H11" s="17"/>
    </row>
    <row r="12" spans="1:8" x14ac:dyDescent="0.25">
      <c r="A12" s="17"/>
      <c r="B12" s="10"/>
      <c r="C12" s="10"/>
      <c r="D12" s="10"/>
      <c r="E12" s="18"/>
      <c r="F12" s="10"/>
      <c r="G12" s="18"/>
      <c r="H12" s="17"/>
    </row>
    <row r="13" spans="1:8" x14ac:dyDescent="0.25">
      <c r="A13" s="17"/>
      <c r="B13" s="10"/>
      <c r="C13" s="10"/>
      <c r="D13" s="10"/>
      <c r="E13" s="18"/>
      <c r="F13" s="10"/>
      <c r="G13" s="18"/>
      <c r="H13" s="17"/>
    </row>
    <row r="14" spans="1:8" x14ac:dyDescent="0.25">
      <c r="A14" s="17"/>
      <c r="B14" s="10"/>
      <c r="C14" s="10"/>
      <c r="D14" s="10"/>
      <c r="E14" s="18"/>
      <c r="F14" s="10"/>
      <c r="G14" s="18"/>
      <c r="H14" s="17"/>
    </row>
    <row r="15" spans="1:8" x14ac:dyDescent="0.25">
      <c r="A15" s="17"/>
      <c r="B15" s="10"/>
      <c r="C15" s="10"/>
      <c r="D15" s="10"/>
      <c r="E15" s="18"/>
      <c r="F15" s="10"/>
      <c r="G15" s="18"/>
      <c r="H15" s="17"/>
    </row>
    <row r="16" spans="1:8" x14ac:dyDescent="0.25">
      <c r="A16" s="17"/>
      <c r="B16" s="10"/>
      <c r="C16" s="10"/>
      <c r="D16" s="10"/>
      <c r="E16" s="18"/>
      <c r="F16" s="10"/>
      <c r="G16" s="18"/>
      <c r="H16" s="17"/>
    </row>
    <row r="17" spans="1:8" x14ac:dyDescent="0.25">
      <c r="A17" s="17"/>
      <c r="B17" s="10"/>
      <c r="C17" s="10"/>
      <c r="D17" s="10"/>
      <c r="E17" s="18"/>
      <c r="F17" s="10"/>
      <c r="G17" s="18"/>
      <c r="H17" s="17"/>
    </row>
    <row r="18" spans="1:8" x14ac:dyDescent="0.25">
      <c r="A18" s="17"/>
      <c r="B18" s="10"/>
      <c r="C18" s="10"/>
      <c r="D18" s="10"/>
      <c r="E18" s="18"/>
      <c r="F18" s="10"/>
      <c r="G18" s="18"/>
      <c r="H18" s="17"/>
    </row>
    <row r="19" spans="1:8" x14ac:dyDescent="0.25">
      <c r="A19" s="17"/>
      <c r="B19" s="10"/>
      <c r="C19" s="10"/>
      <c r="D19" s="10"/>
      <c r="E19" s="18"/>
      <c r="F19" s="10"/>
      <c r="G19" s="18"/>
      <c r="H19" s="17"/>
    </row>
    <row r="20" spans="1:8" x14ac:dyDescent="0.25">
      <c r="A20" s="17"/>
      <c r="B20" s="10"/>
      <c r="C20" s="10"/>
      <c r="D20" s="10"/>
      <c r="E20" s="18"/>
      <c r="F20" s="10"/>
      <c r="G20" s="18"/>
      <c r="H20" s="17"/>
    </row>
    <row r="21" spans="1:8" x14ac:dyDescent="0.25">
      <c r="A21" s="17"/>
      <c r="B21" s="10"/>
      <c r="C21" s="10"/>
      <c r="D21" s="10"/>
      <c r="E21" s="18"/>
      <c r="F21" s="10"/>
      <c r="G21" s="18"/>
      <c r="H21" s="17"/>
    </row>
    <row r="22" spans="1:8" x14ac:dyDescent="0.25">
      <c r="A22" s="17"/>
      <c r="B22" s="10"/>
      <c r="C22" s="10"/>
      <c r="D22" s="10"/>
      <c r="E22" s="18"/>
      <c r="F22" s="10"/>
      <c r="G22" s="18"/>
      <c r="H22" s="17"/>
    </row>
    <row r="23" spans="1:8" x14ac:dyDescent="0.25">
      <c r="A23" s="17"/>
      <c r="B23" s="10"/>
      <c r="C23" s="10"/>
      <c r="D23" s="10"/>
      <c r="E23" s="18"/>
      <c r="F23" s="10"/>
      <c r="G23" s="18"/>
      <c r="H23" s="17"/>
    </row>
    <row r="24" spans="1:8" x14ac:dyDescent="0.25">
      <c r="A24" s="17"/>
      <c r="B24" s="10"/>
      <c r="C24" s="10"/>
      <c r="D24" s="10"/>
      <c r="E24" s="18"/>
      <c r="F24" s="10"/>
      <c r="G24" s="18"/>
      <c r="H24" s="17"/>
    </row>
    <row r="25" spans="1:8" x14ac:dyDescent="0.25">
      <c r="A25" s="17"/>
      <c r="B25" s="10"/>
      <c r="C25" s="10"/>
      <c r="D25" s="10"/>
      <c r="E25" s="18"/>
      <c r="F25" s="10"/>
      <c r="G25" s="18"/>
      <c r="H25" s="17"/>
    </row>
    <row r="26" spans="1:8" x14ac:dyDescent="0.25">
      <c r="A26" s="17"/>
      <c r="B26" s="10"/>
      <c r="C26" s="10"/>
      <c r="D26" s="10"/>
      <c r="E26" s="18"/>
      <c r="F26" s="10"/>
      <c r="G26" s="18"/>
      <c r="H26" s="17"/>
    </row>
    <row r="27" spans="1:8" x14ac:dyDescent="0.25">
      <c r="A27" s="17"/>
      <c r="B27" s="10"/>
      <c r="C27" s="10"/>
      <c r="D27" s="10"/>
      <c r="E27" s="18"/>
      <c r="F27" s="10"/>
      <c r="G27" s="18"/>
      <c r="H27" s="17"/>
    </row>
    <row r="28" spans="1:8" x14ac:dyDescent="0.25">
      <c r="A28" s="17"/>
      <c r="B28" s="10"/>
      <c r="C28" s="10"/>
      <c r="D28" s="10"/>
      <c r="E28" s="18"/>
      <c r="F28" s="10"/>
      <c r="G28" s="18"/>
      <c r="H28" s="17"/>
    </row>
    <row r="29" spans="1:8" x14ac:dyDescent="0.25">
      <c r="A29" s="17"/>
      <c r="B29" s="10"/>
      <c r="C29" s="10"/>
      <c r="D29" s="10"/>
      <c r="E29" s="18"/>
      <c r="F29" s="10"/>
      <c r="G29" s="18"/>
      <c r="H29" s="17"/>
    </row>
    <row r="30" spans="1:8" x14ac:dyDescent="0.25">
      <c r="A30" s="17"/>
      <c r="B30" s="10"/>
      <c r="C30" s="10"/>
      <c r="D30" s="10"/>
      <c r="E30" s="18"/>
      <c r="F30" s="10"/>
      <c r="G30" s="18"/>
      <c r="H30" s="17"/>
    </row>
    <row r="31" spans="1:8" x14ac:dyDescent="0.25">
      <c r="A31" s="17"/>
      <c r="B31" s="10"/>
      <c r="C31" s="10"/>
      <c r="D31" s="10"/>
      <c r="E31" s="18"/>
      <c r="F31" s="10"/>
      <c r="G31" s="18"/>
      <c r="H31" s="17"/>
    </row>
    <row r="32" spans="1:8" x14ac:dyDescent="0.25">
      <c r="A32" s="17"/>
      <c r="B32" s="10"/>
      <c r="C32" s="10"/>
      <c r="D32" s="10"/>
      <c r="E32" s="18"/>
      <c r="F32" s="10"/>
      <c r="G32" s="18"/>
      <c r="H32" s="17"/>
    </row>
    <row r="33" spans="1:8" x14ac:dyDescent="0.25">
      <c r="A33" s="17"/>
      <c r="B33" s="10"/>
      <c r="C33" s="10"/>
      <c r="D33" s="10"/>
      <c r="E33" s="18"/>
      <c r="F33" s="10"/>
      <c r="G33" s="18"/>
      <c r="H33" s="17"/>
    </row>
    <row r="34" spans="1:8" x14ac:dyDescent="0.25">
      <c r="A34" s="17"/>
      <c r="B34" s="10"/>
      <c r="C34" s="10"/>
      <c r="D34" s="10"/>
      <c r="E34" s="18"/>
      <c r="F34" s="10"/>
      <c r="G34" s="18"/>
      <c r="H34" s="17"/>
    </row>
    <row r="35" spans="1:8" x14ac:dyDescent="0.25">
      <c r="A35" s="17"/>
      <c r="B35" s="10"/>
      <c r="C35" s="10"/>
      <c r="D35" s="10"/>
      <c r="E35" s="18"/>
      <c r="F35" s="10"/>
      <c r="G35" s="18"/>
      <c r="H35" s="17"/>
    </row>
    <row r="36" spans="1:8" x14ac:dyDescent="0.25">
      <c r="A36" s="17"/>
      <c r="B36" s="10"/>
      <c r="C36" s="10"/>
      <c r="D36" s="10"/>
      <c r="E36" s="18"/>
      <c r="F36" s="10"/>
      <c r="G36" s="18"/>
      <c r="H36" s="17"/>
    </row>
    <row r="37" spans="1:8" x14ac:dyDescent="0.25">
      <c r="A37" s="17"/>
      <c r="B37" s="10"/>
      <c r="C37" s="10"/>
      <c r="D37" s="10"/>
      <c r="E37" s="18"/>
      <c r="F37" s="10"/>
      <c r="G37" s="18"/>
      <c r="H37" s="17"/>
    </row>
    <row r="38" spans="1:8" x14ac:dyDescent="0.25">
      <c r="A38" s="17"/>
      <c r="B38" s="10"/>
      <c r="C38" s="10"/>
      <c r="D38" s="10"/>
      <c r="E38" s="18"/>
      <c r="F38" s="10"/>
      <c r="G38" s="18"/>
      <c r="H38" s="17"/>
    </row>
    <row r="39" spans="1:8" x14ac:dyDescent="0.25">
      <c r="A39" s="17"/>
      <c r="B39" s="10"/>
      <c r="C39" s="10"/>
      <c r="D39" s="10"/>
      <c r="E39" s="18"/>
      <c r="F39" s="10"/>
      <c r="G39" s="18"/>
      <c r="H39" s="17"/>
    </row>
    <row r="40" spans="1:8" x14ac:dyDescent="0.25">
      <c r="A40" s="17"/>
      <c r="B40" s="10"/>
      <c r="C40" s="10"/>
      <c r="D40" s="10"/>
      <c r="E40" s="18"/>
      <c r="F40" s="10"/>
      <c r="G40" s="18"/>
      <c r="H40" s="17"/>
    </row>
    <row r="41" spans="1:8" x14ac:dyDescent="0.25">
      <c r="A41" s="17"/>
      <c r="B41" s="10"/>
      <c r="C41" s="10"/>
      <c r="D41" s="10"/>
      <c r="E41" s="18"/>
      <c r="F41" s="10"/>
      <c r="G41" s="18"/>
      <c r="H41" s="17"/>
    </row>
    <row r="42" spans="1:8" x14ac:dyDescent="0.25">
      <c r="A42" s="17"/>
      <c r="B42" s="10"/>
      <c r="C42" s="10"/>
      <c r="D42" s="10"/>
      <c r="E42" s="18"/>
      <c r="F42" s="10"/>
      <c r="G42" s="18"/>
      <c r="H42" s="17"/>
    </row>
    <row r="43" spans="1:8" x14ac:dyDescent="0.25">
      <c r="A43" s="17"/>
      <c r="B43" s="10"/>
      <c r="C43" s="10"/>
      <c r="D43" s="10"/>
      <c r="E43" s="18"/>
      <c r="F43" s="10"/>
      <c r="G43" s="18"/>
      <c r="H43" s="17"/>
    </row>
    <row r="44" spans="1:8" x14ac:dyDescent="0.25">
      <c r="A44" s="17"/>
      <c r="B44" s="10"/>
      <c r="C44" s="10"/>
      <c r="D44" s="10"/>
      <c r="E44" s="18"/>
      <c r="F44" s="10"/>
      <c r="G44" s="18"/>
      <c r="H44" s="17"/>
    </row>
    <row r="45" spans="1:8" x14ac:dyDescent="0.25">
      <c r="A45" s="17"/>
      <c r="B45" s="10"/>
      <c r="C45" s="10"/>
      <c r="D45" s="10"/>
      <c r="E45" s="18"/>
      <c r="F45" s="10"/>
      <c r="G45" s="18"/>
      <c r="H45" s="17"/>
    </row>
    <row r="46" spans="1:8" x14ac:dyDescent="0.25">
      <c r="A46" s="17"/>
      <c r="B46" s="10"/>
      <c r="C46" s="10"/>
      <c r="D46" s="10"/>
      <c r="E46" s="18"/>
      <c r="F46" s="10"/>
      <c r="G46" s="18"/>
      <c r="H46" s="17"/>
    </row>
    <row r="47" spans="1:8" x14ac:dyDescent="0.25">
      <c r="A47" s="17"/>
      <c r="B47" s="10"/>
      <c r="C47" s="10"/>
      <c r="D47" s="10"/>
      <c r="E47" s="18"/>
      <c r="F47" s="10"/>
      <c r="G47" s="18"/>
      <c r="H47" s="17"/>
    </row>
    <row r="48" spans="1:8" x14ac:dyDescent="0.25">
      <c r="A48" s="17"/>
      <c r="B48" s="10"/>
      <c r="C48" s="10"/>
      <c r="D48" s="10"/>
      <c r="E48" s="18"/>
      <c r="F48" s="10"/>
      <c r="G48" s="18"/>
      <c r="H48" s="17"/>
    </row>
    <row r="49" spans="1:8" x14ac:dyDescent="0.25">
      <c r="A49" s="17"/>
      <c r="B49" s="10"/>
      <c r="C49" s="10"/>
      <c r="D49" s="10"/>
      <c r="E49" s="18"/>
      <c r="F49" s="10"/>
      <c r="G49" s="18"/>
      <c r="H49" s="17"/>
    </row>
    <row r="50" spans="1:8" x14ac:dyDescent="0.25">
      <c r="A50" s="17"/>
      <c r="B50" s="10"/>
      <c r="C50" s="10"/>
      <c r="D50" s="10"/>
      <c r="E50" s="18"/>
      <c r="F50" s="10"/>
      <c r="G50" s="18"/>
      <c r="H50" s="17"/>
    </row>
    <row r="51" spans="1:8" x14ac:dyDescent="0.25">
      <c r="A51" s="17"/>
      <c r="B51" s="10"/>
      <c r="C51" s="10"/>
      <c r="D51" s="10"/>
      <c r="E51" s="18"/>
      <c r="F51" s="10"/>
      <c r="G51" s="18"/>
      <c r="H51" s="17"/>
    </row>
    <row r="52" spans="1:8" x14ac:dyDescent="0.25">
      <c r="A52" s="17"/>
      <c r="B52" s="10"/>
      <c r="C52" s="10"/>
      <c r="D52" s="10"/>
      <c r="E52" s="18"/>
      <c r="F52" s="10"/>
      <c r="G52" s="18"/>
      <c r="H52" s="17"/>
    </row>
    <row r="53" spans="1:8" x14ac:dyDescent="0.25">
      <c r="A53" s="17"/>
      <c r="B53" s="10"/>
      <c r="C53" s="10"/>
      <c r="D53" s="10"/>
      <c r="E53" s="18"/>
      <c r="F53" s="10"/>
      <c r="G53" s="18"/>
      <c r="H53" s="17"/>
    </row>
    <row r="54" spans="1:8" x14ac:dyDescent="0.25">
      <c r="A54" s="17"/>
      <c r="B54" s="10"/>
      <c r="C54" s="10"/>
      <c r="D54" s="10"/>
      <c r="E54" s="18"/>
      <c r="F54" s="10"/>
      <c r="G54" s="18"/>
      <c r="H54" s="17"/>
    </row>
    <row r="55" spans="1:8" x14ac:dyDescent="0.25">
      <c r="A55" s="17"/>
      <c r="B55" s="10"/>
      <c r="C55" s="10"/>
      <c r="D55" s="10"/>
      <c r="E55" s="18"/>
      <c r="F55" s="10"/>
      <c r="G55" s="18"/>
      <c r="H55" s="17"/>
    </row>
    <row r="56" spans="1:8" x14ac:dyDescent="0.25">
      <c r="A56" s="17"/>
      <c r="B56" s="10"/>
      <c r="C56" s="10"/>
      <c r="D56" s="10"/>
      <c r="E56" s="18"/>
      <c r="F56" s="10"/>
      <c r="G56" s="18"/>
      <c r="H56" s="17"/>
    </row>
    <row r="57" spans="1:8" x14ac:dyDescent="0.25">
      <c r="A57" s="17"/>
      <c r="B57" s="10"/>
      <c r="C57" s="10"/>
      <c r="D57" s="10"/>
      <c r="E57" s="18"/>
      <c r="F57" s="10"/>
      <c r="G57" s="18"/>
      <c r="H57" s="17"/>
    </row>
    <row r="58" spans="1:8" x14ac:dyDescent="0.25">
      <c r="A58" s="17"/>
      <c r="B58" s="10"/>
      <c r="C58" s="10"/>
      <c r="D58" s="10"/>
      <c r="E58" s="18"/>
      <c r="F58" s="10"/>
      <c r="G58" s="18"/>
      <c r="H58" s="17"/>
    </row>
    <row r="59" spans="1:8" x14ac:dyDescent="0.25">
      <c r="A59" s="17"/>
      <c r="B59" s="10"/>
      <c r="C59" s="10"/>
      <c r="D59" s="10"/>
      <c r="E59" s="18"/>
      <c r="F59" s="10"/>
      <c r="G59" s="18"/>
      <c r="H59" s="17"/>
    </row>
    <row r="60" spans="1:8" x14ac:dyDescent="0.25">
      <c r="A60" s="17"/>
      <c r="B60" s="10"/>
      <c r="C60" s="10"/>
      <c r="D60" s="10"/>
      <c r="E60" s="18"/>
      <c r="F60" s="10"/>
      <c r="G60" s="18"/>
      <c r="H60" s="17"/>
    </row>
    <row r="61" spans="1:8" x14ac:dyDescent="0.25">
      <c r="A61" s="17"/>
      <c r="B61" s="10"/>
      <c r="C61" s="10"/>
      <c r="D61" s="10"/>
      <c r="E61" s="18"/>
      <c r="F61" s="10"/>
      <c r="G61" s="18"/>
      <c r="H61" s="17"/>
    </row>
    <row r="62" spans="1:8" x14ac:dyDescent="0.25">
      <c r="A62" s="17"/>
      <c r="B62" s="10"/>
      <c r="C62" s="10"/>
      <c r="D62" s="10"/>
      <c r="E62" s="18"/>
      <c r="F62" s="10"/>
      <c r="G62" s="18"/>
      <c r="H62" s="17"/>
    </row>
    <row r="63" spans="1:8" x14ac:dyDescent="0.25">
      <c r="A63" s="17"/>
      <c r="B63" s="10"/>
      <c r="C63" s="10"/>
      <c r="D63" s="10"/>
      <c r="E63" s="18"/>
      <c r="F63" s="10"/>
      <c r="G63" s="18"/>
      <c r="H63" s="17"/>
    </row>
    <row r="64" spans="1:8" x14ac:dyDescent="0.25">
      <c r="A64" s="17"/>
      <c r="B64" s="10"/>
      <c r="C64" s="10"/>
      <c r="D64" s="10"/>
      <c r="E64" s="18"/>
      <c r="F64" s="10"/>
      <c r="G64" s="18"/>
      <c r="H64" s="17"/>
    </row>
    <row r="65" spans="1:8" x14ac:dyDescent="0.25">
      <c r="A65" s="17"/>
      <c r="B65" s="10"/>
      <c r="C65" s="10"/>
      <c r="D65" s="10"/>
      <c r="E65" s="18"/>
      <c r="F65" s="10"/>
      <c r="G65" s="18"/>
      <c r="H65" s="17"/>
    </row>
    <row r="66" spans="1:8" x14ac:dyDescent="0.25">
      <c r="A66" s="17"/>
      <c r="B66" s="10"/>
      <c r="C66" s="10"/>
      <c r="D66" s="10"/>
      <c r="E66" s="18"/>
      <c r="F66" s="10"/>
      <c r="G66" s="18"/>
      <c r="H66" s="17"/>
    </row>
    <row r="67" spans="1:8" x14ac:dyDescent="0.25">
      <c r="A67" s="17"/>
      <c r="B67" s="10"/>
      <c r="C67" s="10"/>
      <c r="D67" s="10"/>
      <c r="E67" s="18"/>
      <c r="F67" s="10"/>
      <c r="G67" s="18"/>
      <c r="H67" s="17"/>
    </row>
    <row r="68" spans="1:8" x14ac:dyDescent="0.25">
      <c r="A68" s="17"/>
      <c r="B68" s="10"/>
      <c r="C68" s="10"/>
      <c r="D68" s="10"/>
      <c r="E68" s="18"/>
      <c r="F68" s="10"/>
      <c r="G68" s="18"/>
      <c r="H68" s="17"/>
    </row>
    <row r="69" spans="1:8" x14ac:dyDescent="0.25">
      <c r="A69" s="17"/>
      <c r="B69" s="10"/>
      <c r="C69" s="10"/>
      <c r="D69" s="10"/>
      <c r="E69" s="18"/>
      <c r="F69" s="10"/>
      <c r="G69" s="18"/>
      <c r="H69" s="17"/>
    </row>
    <row r="70" spans="1:8" x14ac:dyDescent="0.25">
      <c r="A70" s="17"/>
      <c r="B70" s="10"/>
      <c r="C70" s="10"/>
      <c r="D70" s="10"/>
      <c r="E70" s="18"/>
      <c r="F70" s="10"/>
      <c r="G70" s="18"/>
      <c r="H70" s="17"/>
    </row>
    <row r="71" spans="1:8" x14ac:dyDescent="0.25">
      <c r="A71" s="17"/>
      <c r="B71" s="10"/>
      <c r="C71" s="10"/>
      <c r="D71" s="10"/>
      <c r="E71" s="18"/>
      <c r="F71" s="10"/>
      <c r="G71" s="18"/>
      <c r="H71" s="17"/>
    </row>
    <row r="72" spans="1:8" x14ac:dyDescent="0.25">
      <c r="A72" s="17"/>
      <c r="B72" s="10"/>
      <c r="C72" s="10"/>
      <c r="D72" s="10"/>
      <c r="E72" s="18"/>
      <c r="F72" s="10"/>
      <c r="G72" s="18"/>
      <c r="H72" s="17"/>
    </row>
    <row r="73" spans="1:8" x14ac:dyDescent="0.25">
      <c r="A73" s="17"/>
      <c r="B73" s="10"/>
      <c r="C73" s="10"/>
      <c r="D73" s="10"/>
      <c r="E73" s="18"/>
      <c r="F73" s="10"/>
      <c r="G73" s="18"/>
      <c r="H73" s="17"/>
    </row>
    <row r="74" spans="1:8" x14ac:dyDescent="0.25">
      <c r="A74" s="17"/>
      <c r="B74" s="10"/>
      <c r="C74" s="10"/>
      <c r="D74" s="10"/>
      <c r="E74" s="18"/>
      <c r="F74" s="10"/>
      <c r="G74" s="18"/>
      <c r="H74" s="17"/>
    </row>
    <row r="75" spans="1:8" x14ac:dyDescent="0.25">
      <c r="A75" s="17"/>
      <c r="B75" s="10"/>
      <c r="C75" s="10"/>
      <c r="D75" s="10"/>
      <c r="E75" s="18"/>
      <c r="F75" s="10"/>
      <c r="G75" s="18"/>
      <c r="H75" s="17"/>
    </row>
    <row r="76" spans="1:8" x14ac:dyDescent="0.25">
      <c r="A76" s="17"/>
      <c r="B76" s="10"/>
      <c r="C76" s="10"/>
      <c r="D76" s="10"/>
      <c r="E76" s="18"/>
      <c r="F76" s="10"/>
      <c r="G76" s="18"/>
      <c r="H76" s="17"/>
    </row>
    <row r="77" spans="1:8" x14ac:dyDescent="0.25">
      <c r="A77" s="17"/>
      <c r="B77" s="10"/>
      <c r="C77" s="10"/>
      <c r="D77" s="10"/>
      <c r="E77" s="18"/>
      <c r="F77" s="10"/>
      <c r="G77" s="18"/>
      <c r="H77" s="17"/>
    </row>
    <row r="78" spans="1:8" x14ac:dyDescent="0.25">
      <c r="A78" s="17"/>
      <c r="B78" s="10"/>
      <c r="C78" s="10"/>
      <c r="D78" s="10"/>
      <c r="E78" s="18"/>
      <c r="F78" s="10"/>
      <c r="G78" s="18"/>
      <c r="H78" s="17"/>
    </row>
    <row r="79" spans="1:8" x14ac:dyDescent="0.25">
      <c r="A79" s="17"/>
      <c r="B79" s="10"/>
      <c r="C79" s="10"/>
      <c r="D79" s="10"/>
      <c r="E79" s="18"/>
      <c r="F79" s="10"/>
      <c r="G79" s="18"/>
      <c r="H79" s="17"/>
    </row>
    <row r="80" spans="1:8" x14ac:dyDescent="0.25">
      <c r="A80" s="17"/>
      <c r="B80" s="10"/>
      <c r="C80" s="10"/>
      <c r="D80" s="10"/>
      <c r="E80" s="18"/>
      <c r="F80" s="10"/>
      <c r="G80" s="18"/>
      <c r="H80" s="17"/>
    </row>
    <row r="81" spans="1:8" x14ac:dyDescent="0.25">
      <c r="A81" s="17"/>
      <c r="B81" s="10"/>
      <c r="C81" s="10"/>
      <c r="D81" s="10"/>
      <c r="E81" s="18"/>
      <c r="F81" s="10"/>
      <c r="G81" s="18"/>
      <c r="H81" s="17"/>
    </row>
    <row r="82" spans="1:8" x14ac:dyDescent="0.25">
      <c r="A82" s="17"/>
      <c r="B82" s="10"/>
      <c r="C82" s="10"/>
      <c r="D82" s="10"/>
      <c r="E82" s="18"/>
      <c r="F82" s="10"/>
      <c r="G82" s="18"/>
      <c r="H82" s="17"/>
    </row>
    <row r="83" spans="1:8" x14ac:dyDescent="0.25">
      <c r="A83" s="17"/>
      <c r="B83" s="10"/>
      <c r="C83" s="10"/>
      <c r="D83" s="10"/>
      <c r="E83" s="18"/>
      <c r="F83" s="10"/>
      <c r="G83" s="18"/>
      <c r="H83" s="17"/>
    </row>
    <row r="84" spans="1:8" x14ac:dyDescent="0.25">
      <c r="A84" s="17"/>
      <c r="B84" s="10"/>
      <c r="C84" s="10"/>
      <c r="D84" s="10"/>
      <c r="E84" s="18"/>
      <c r="F84" s="10"/>
      <c r="G84" s="18"/>
      <c r="H84" s="17"/>
    </row>
    <row r="85" spans="1:8" x14ac:dyDescent="0.25">
      <c r="A85" s="17"/>
      <c r="B85" s="10"/>
      <c r="C85" s="10"/>
      <c r="D85" s="10"/>
      <c r="E85" s="18"/>
      <c r="F85" s="10"/>
      <c r="G85" s="18"/>
      <c r="H85" s="17"/>
    </row>
    <row r="86" spans="1:8" x14ac:dyDescent="0.25">
      <c r="A86" s="17"/>
      <c r="B86" s="10"/>
      <c r="C86" s="10"/>
      <c r="D86" s="10"/>
      <c r="E86" s="18"/>
      <c r="F86" s="10"/>
      <c r="G86" s="18"/>
      <c r="H86" s="17"/>
    </row>
    <row r="87" spans="1:8" x14ac:dyDescent="0.25">
      <c r="A87" s="17"/>
      <c r="B87" s="10"/>
      <c r="C87" s="10"/>
      <c r="D87" s="10"/>
      <c r="E87" s="18"/>
      <c r="F87" s="10"/>
      <c r="G87" s="18"/>
      <c r="H87" s="17"/>
    </row>
    <row r="88" spans="1:8" x14ac:dyDescent="0.25">
      <c r="A88" s="17"/>
      <c r="B88" s="10"/>
      <c r="C88" s="10"/>
      <c r="D88" s="10"/>
      <c r="E88" s="18"/>
      <c r="F88" s="10"/>
      <c r="G88" s="18"/>
      <c r="H88" s="17"/>
    </row>
    <row r="89" spans="1:8" x14ac:dyDescent="0.25">
      <c r="A89" s="17"/>
      <c r="B89" s="10"/>
      <c r="C89" s="10"/>
      <c r="D89" s="10"/>
      <c r="E89" s="18"/>
      <c r="F89" s="10"/>
      <c r="G89" s="18"/>
      <c r="H89" s="17"/>
    </row>
    <row r="90" spans="1:8" x14ac:dyDescent="0.25">
      <c r="A90" s="17"/>
      <c r="B90" s="10"/>
      <c r="C90" s="10"/>
      <c r="D90" s="10"/>
      <c r="E90" s="18"/>
      <c r="F90" s="10"/>
      <c r="G90" s="18"/>
      <c r="H90" s="17"/>
    </row>
    <row r="91" spans="1:8" x14ac:dyDescent="0.25">
      <c r="A91" s="17"/>
      <c r="B91" s="10"/>
      <c r="C91" s="10"/>
      <c r="D91" s="10"/>
      <c r="E91" s="18"/>
      <c r="F91" s="10"/>
      <c r="G91" s="18"/>
      <c r="H91" s="17"/>
    </row>
    <row r="92" spans="1:8" x14ac:dyDescent="0.25">
      <c r="A92" s="17"/>
      <c r="B92" s="10"/>
      <c r="C92" s="10"/>
      <c r="D92" s="10"/>
      <c r="E92" s="18"/>
      <c r="F92" s="10"/>
      <c r="G92" s="18"/>
      <c r="H92" s="17"/>
    </row>
    <row r="93" spans="1:8" x14ac:dyDescent="0.25">
      <c r="A93" s="17"/>
      <c r="B93" s="10"/>
      <c r="C93" s="10"/>
      <c r="D93" s="10"/>
      <c r="E93" s="18"/>
      <c r="F93" s="10"/>
      <c r="G93" s="18"/>
      <c r="H93" s="17"/>
    </row>
    <row r="94" spans="1:8" x14ac:dyDescent="0.25">
      <c r="A94" s="17"/>
      <c r="B94" s="10"/>
      <c r="C94" s="10"/>
      <c r="D94" s="10"/>
      <c r="E94" s="18"/>
      <c r="F94" s="10"/>
      <c r="G94" s="18"/>
      <c r="H94" s="17"/>
    </row>
    <row r="95" spans="1:8" x14ac:dyDescent="0.25">
      <c r="A95" s="17"/>
      <c r="B95" s="10"/>
      <c r="C95" s="10"/>
      <c r="D95" s="10"/>
      <c r="E95" s="18"/>
      <c r="F95" s="10"/>
      <c r="G95" s="18"/>
      <c r="H95" s="17"/>
    </row>
    <row r="96" spans="1:8" x14ac:dyDescent="0.25">
      <c r="A96" s="17"/>
      <c r="B96" s="10"/>
      <c r="C96" s="10"/>
      <c r="D96" s="10"/>
      <c r="E96" s="18"/>
      <c r="F96" s="10"/>
      <c r="G96" s="18"/>
      <c r="H96" s="17"/>
    </row>
    <row r="97" spans="1:8" x14ac:dyDescent="0.25">
      <c r="A97" s="17"/>
      <c r="B97" s="10"/>
      <c r="C97" s="10"/>
      <c r="D97" s="10"/>
      <c r="E97" s="18"/>
      <c r="F97" s="10"/>
      <c r="G97" s="18"/>
      <c r="H97" s="17"/>
    </row>
    <row r="98" spans="1:8" x14ac:dyDescent="0.25">
      <c r="A98" s="17"/>
      <c r="B98" s="10"/>
      <c r="C98" s="10"/>
      <c r="D98" s="10"/>
      <c r="E98" s="18"/>
      <c r="F98" s="10"/>
      <c r="G98" s="18"/>
      <c r="H98" s="17"/>
    </row>
    <row r="99" spans="1:8" x14ac:dyDescent="0.25">
      <c r="A99" s="17"/>
      <c r="B99" s="10"/>
      <c r="C99" s="10"/>
      <c r="D99" s="10"/>
      <c r="E99" s="18"/>
      <c r="F99" s="10"/>
      <c r="G99" s="18"/>
      <c r="H99" s="17"/>
    </row>
    <row r="100" spans="1:8" x14ac:dyDescent="0.25">
      <c r="A100" s="17"/>
      <c r="B100" s="10"/>
      <c r="C100" s="10"/>
      <c r="D100" s="10"/>
      <c r="E100" s="18"/>
      <c r="F100" s="10"/>
      <c r="G100" s="18"/>
      <c r="H100" s="17"/>
    </row>
    <row r="101" spans="1:8" x14ac:dyDescent="0.25">
      <c r="A101" s="17"/>
      <c r="B101" s="10"/>
      <c r="C101" s="10"/>
      <c r="D101" s="10"/>
      <c r="E101" s="18"/>
      <c r="F101" s="10"/>
      <c r="G101" s="18"/>
      <c r="H101" s="17"/>
    </row>
    <row r="102" spans="1:8" x14ac:dyDescent="0.25">
      <c r="A102" s="17"/>
      <c r="B102" s="10"/>
      <c r="C102" s="10"/>
      <c r="D102" s="10"/>
      <c r="E102" s="18"/>
      <c r="F102" s="10"/>
      <c r="G102" s="18"/>
      <c r="H102" s="17"/>
    </row>
    <row r="103" spans="1:8" x14ac:dyDescent="0.25">
      <c r="A103" s="17"/>
      <c r="B103" s="10"/>
      <c r="C103" s="10"/>
      <c r="D103" s="10"/>
      <c r="E103" s="18"/>
      <c r="F103" s="10"/>
      <c r="G103" s="18"/>
      <c r="H103" s="17"/>
    </row>
    <row r="104" spans="1:8" x14ac:dyDescent="0.25">
      <c r="A104" s="17"/>
      <c r="B104" s="10"/>
      <c r="C104" s="10"/>
      <c r="D104" s="10"/>
      <c r="E104" s="18"/>
      <c r="F104" s="10"/>
      <c r="G104" s="18"/>
      <c r="H104" s="17"/>
    </row>
    <row r="105" spans="1:8" x14ac:dyDescent="0.25">
      <c r="A105" s="17"/>
      <c r="B105" s="10"/>
      <c r="C105" s="10"/>
      <c r="D105" s="10"/>
      <c r="E105" s="18"/>
      <c r="F105" s="10"/>
      <c r="G105" s="18"/>
      <c r="H105" s="17"/>
    </row>
    <row r="106" spans="1:8" x14ac:dyDescent="0.25">
      <c r="A106" s="17"/>
      <c r="B106" s="10"/>
      <c r="C106" s="10"/>
      <c r="D106" s="10"/>
      <c r="E106" s="18"/>
      <c r="F106" s="10"/>
      <c r="G106" s="18"/>
      <c r="H106" s="17"/>
    </row>
    <row r="107" spans="1:8" x14ac:dyDescent="0.25">
      <c r="A107" s="17"/>
      <c r="B107" s="10"/>
      <c r="C107" s="10"/>
      <c r="D107" s="10"/>
      <c r="E107" s="18"/>
      <c r="F107" s="10"/>
      <c r="G107" s="18"/>
      <c r="H107" s="17"/>
    </row>
    <row r="108" spans="1:8" x14ac:dyDescent="0.25">
      <c r="A108" s="17"/>
      <c r="B108" s="10"/>
      <c r="C108" s="10"/>
      <c r="D108" s="10"/>
      <c r="E108" s="18"/>
      <c r="F108" s="10"/>
      <c r="G108" s="18"/>
      <c r="H108" s="17"/>
    </row>
    <row r="109" spans="1:8" x14ac:dyDescent="0.25">
      <c r="A109" s="17"/>
      <c r="B109" s="10"/>
      <c r="C109" s="10"/>
      <c r="D109" s="10"/>
      <c r="E109" s="18"/>
      <c r="F109" s="10"/>
      <c r="G109" s="18"/>
      <c r="H109" s="17"/>
    </row>
    <row r="110" spans="1:8" x14ac:dyDescent="0.25">
      <c r="A110" s="17"/>
      <c r="B110" s="10"/>
      <c r="C110" s="10"/>
      <c r="D110" s="10"/>
      <c r="E110" s="18"/>
      <c r="F110" s="10"/>
      <c r="G110" s="18"/>
      <c r="H110" s="17"/>
    </row>
    <row r="111" spans="1:8" x14ac:dyDescent="0.25">
      <c r="A111" s="17"/>
      <c r="B111" s="10"/>
      <c r="C111" s="10"/>
      <c r="D111" s="10"/>
      <c r="E111" s="18"/>
      <c r="F111" s="10"/>
      <c r="G111" s="18"/>
      <c r="H111" s="17"/>
    </row>
    <row r="112" spans="1:8" x14ac:dyDescent="0.25">
      <c r="A112" s="17"/>
      <c r="B112" s="10"/>
      <c r="C112" s="10"/>
      <c r="D112" s="10"/>
      <c r="E112" s="18"/>
      <c r="F112" s="10"/>
      <c r="G112" s="18"/>
      <c r="H112" s="17"/>
    </row>
    <row r="113" spans="1:8" x14ac:dyDescent="0.25">
      <c r="A113" s="17"/>
      <c r="B113" s="10"/>
      <c r="C113" s="10"/>
      <c r="D113" s="10"/>
      <c r="E113" s="18"/>
      <c r="F113" s="10"/>
      <c r="G113" s="18"/>
      <c r="H113" s="17"/>
    </row>
    <row r="114" spans="1:8" x14ac:dyDescent="0.25">
      <c r="A114" s="17"/>
      <c r="B114" s="10"/>
      <c r="C114" s="10"/>
      <c r="D114" s="10"/>
      <c r="E114" s="18"/>
      <c r="F114" s="10"/>
      <c r="G114" s="18"/>
      <c r="H114" s="17"/>
    </row>
    <row r="115" spans="1:8" x14ac:dyDescent="0.25">
      <c r="A115" s="17"/>
      <c r="B115" s="10"/>
      <c r="C115" s="10"/>
      <c r="D115" s="10"/>
      <c r="E115" s="18"/>
      <c r="F115" s="10"/>
      <c r="G115" s="18"/>
      <c r="H115" s="17"/>
    </row>
    <row r="116" spans="1:8" x14ac:dyDescent="0.25">
      <c r="A116" s="17"/>
      <c r="B116" s="10"/>
      <c r="C116" s="10"/>
      <c r="D116" s="10"/>
      <c r="E116" s="18"/>
      <c r="F116" s="10"/>
      <c r="G116" s="18"/>
      <c r="H116" s="17"/>
    </row>
    <row r="117" spans="1:8" x14ac:dyDescent="0.25">
      <c r="A117" s="17"/>
      <c r="B117" s="10"/>
      <c r="C117" s="10"/>
      <c r="D117" s="10"/>
      <c r="E117" s="18"/>
      <c r="F117" s="10"/>
      <c r="G117" s="18"/>
      <c r="H117" s="17"/>
    </row>
    <row r="118" spans="1:8" x14ac:dyDescent="0.25">
      <c r="A118" s="17"/>
      <c r="B118" s="10"/>
      <c r="C118" s="10"/>
      <c r="D118" s="10"/>
      <c r="E118" s="18"/>
      <c r="F118" s="10"/>
      <c r="G118" s="18"/>
      <c r="H118" s="17"/>
    </row>
    <row r="119" spans="1:8" x14ac:dyDescent="0.25">
      <c r="A119" s="17"/>
      <c r="B119" s="10"/>
      <c r="C119" s="10"/>
      <c r="D119" s="10"/>
      <c r="E119" s="18"/>
      <c r="F119" s="10"/>
      <c r="G119" s="18"/>
      <c r="H119" s="17"/>
    </row>
    <row r="120" spans="1:8" x14ac:dyDescent="0.25">
      <c r="A120" s="17"/>
      <c r="B120" s="10"/>
      <c r="C120" s="10"/>
      <c r="D120" s="10"/>
      <c r="E120" s="18"/>
      <c r="F120" s="10"/>
      <c r="G120" s="18"/>
      <c r="H120" s="17"/>
    </row>
    <row r="121" spans="1:8" x14ac:dyDescent="0.25">
      <c r="A121" s="17"/>
      <c r="B121" s="10"/>
      <c r="C121" s="10"/>
      <c r="D121" s="10"/>
      <c r="E121" s="18"/>
      <c r="F121" s="10"/>
      <c r="G121" s="18"/>
      <c r="H121" s="17"/>
    </row>
    <row r="122" spans="1:8" x14ac:dyDescent="0.25">
      <c r="A122" s="17"/>
      <c r="B122" s="10"/>
      <c r="C122" s="10"/>
      <c r="D122" s="10"/>
      <c r="E122" s="18"/>
      <c r="F122" s="10"/>
      <c r="G122" s="18"/>
      <c r="H122" s="17"/>
    </row>
    <row r="123" spans="1:8" x14ac:dyDescent="0.25">
      <c r="A123" s="17"/>
      <c r="B123" s="10"/>
      <c r="C123" s="10"/>
      <c r="D123" s="10"/>
      <c r="E123" s="18"/>
      <c r="F123" s="10"/>
      <c r="G123" s="18"/>
      <c r="H123" s="17"/>
    </row>
    <row r="124" spans="1:8" x14ac:dyDescent="0.25">
      <c r="A124" s="17"/>
      <c r="B124" s="10"/>
      <c r="C124" s="10"/>
      <c r="D124" s="10"/>
      <c r="E124" s="18"/>
      <c r="F124" s="10"/>
      <c r="G124" s="18"/>
      <c r="H124" s="17"/>
    </row>
    <row r="125" spans="1:8" x14ac:dyDescent="0.25">
      <c r="A125" s="17"/>
      <c r="B125" s="10"/>
      <c r="C125" s="10"/>
      <c r="D125" s="10"/>
      <c r="E125" s="18"/>
      <c r="F125" s="10"/>
      <c r="G125" s="18"/>
      <c r="H125" s="17"/>
    </row>
    <row r="126" spans="1:8" x14ac:dyDescent="0.25">
      <c r="A126" s="17"/>
      <c r="B126" s="10"/>
      <c r="C126" s="10"/>
      <c r="D126" s="10"/>
      <c r="E126" s="18"/>
      <c r="F126" s="10"/>
      <c r="G126" s="18"/>
      <c r="H126" s="17"/>
    </row>
    <row r="127" spans="1:8" x14ac:dyDescent="0.25">
      <c r="A127" s="17"/>
      <c r="B127" s="10"/>
      <c r="C127" s="10"/>
      <c r="D127" s="10"/>
      <c r="E127" s="18"/>
      <c r="F127" s="10"/>
      <c r="G127" s="18"/>
      <c r="H127" s="17"/>
    </row>
    <row r="128" spans="1:8" x14ac:dyDescent="0.25">
      <c r="A128" s="17"/>
      <c r="B128" s="10"/>
      <c r="C128" s="10"/>
      <c r="D128" s="10"/>
      <c r="E128" s="18"/>
      <c r="F128" s="10"/>
      <c r="G128" s="18"/>
      <c r="H128" s="17"/>
    </row>
    <row r="129" spans="1:8" x14ac:dyDescent="0.25">
      <c r="A129" s="17"/>
      <c r="B129" s="10"/>
      <c r="C129" s="10"/>
      <c r="D129" s="10"/>
      <c r="E129" s="18"/>
      <c r="F129" s="10"/>
      <c r="G129" s="18"/>
      <c r="H129" s="17"/>
    </row>
    <row r="130" spans="1:8" x14ac:dyDescent="0.25">
      <c r="A130" s="17"/>
      <c r="B130" s="10"/>
      <c r="C130" s="10"/>
      <c r="D130" s="10"/>
      <c r="E130" s="18"/>
      <c r="F130" s="10"/>
      <c r="G130" s="18"/>
      <c r="H130" s="17"/>
    </row>
    <row r="131" spans="1:8" x14ac:dyDescent="0.25">
      <c r="A131" s="17"/>
      <c r="B131" s="10"/>
      <c r="C131" s="10"/>
      <c r="D131" s="10"/>
      <c r="E131" s="18"/>
      <c r="F131" s="10"/>
      <c r="G131" s="18"/>
      <c r="H131" s="17"/>
    </row>
    <row r="132" spans="1:8" x14ac:dyDescent="0.25">
      <c r="A132" s="17"/>
      <c r="B132" s="10"/>
      <c r="C132" s="10"/>
      <c r="D132" s="10"/>
      <c r="E132" s="18"/>
      <c r="F132" s="10"/>
      <c r="G132" s="18"/>
      <c r="H132" s="17"/>
    </row>
    <row r="133" spans="1:8" x14ac:dyDescent="0.25">
      <c r="A133" s="17"/>
      <c r="B133" s="10"/>
      <c r="C133" s="10"/>
      <c r="D133" s="10"/>
      <c r="E133" s="18"/>
      <c r="F133" s="10"/>
      <c r="G133" s="18"/>
      <c r="H133" s="17"/>
    </row>
    <row r="134" spans="1:8" x14ac:dyDescent="0.25">
      <c r="A134" s="17"/>
      <c r="B134" s="10"/>
      <c r="C134" s="10"/>
      <c r="D134" s="10"/>
      <c r="E134" s="18"/>
      <c r="F134" s="10"/>
      <c r="G134" s="18"/>
      <c r="H134" s="17"/>
    </row>
    <row r="135" spans="1:8" x14ac:dyDescent="0.25">
      <c r="A135" s="17"/>
      <c r="B135" s="10"/>
      <c r="C135" s="10"/>
      <c r="D135" s="10"/>
      <c r="E135" s="18"/>
      <c r="F135" s="10"/>
      <c r="G135" s="18"/>
      <c r="H135" s="17"/>
    </row>
    <row r="136" spans="1:8" x14ac:dyDescent="0.25">
      <c r="A136" s="17"/>
      <c r="B136" s="10"/>
      <c r="C136" s="10"/>
      <c r="D136" s="10"/>
      <c r="E136" s="18"/>
      <c r="F136" s="10"/>
      <c r="G136" s="18"/>
      <c r="H136" s="17"/>
    </row>
    <row r="137" spans="1:8" x14ac:dyDescent="0.25">
      <c r="A137" s="17"/>
      <c r="B137" s="10"/>
      <c r="C137" s="10"/>
      <c r="D137" s="10"/>
      <c r="E137" s="18"/>
      <c r="F137" s="10"/>
      <c r="G137" s="18"/>
      <c r="H137" s="17"/>
    </row>
    <row r="138" spans="1:8" x14ac:dyDescent="0.25">
      <c r="A138" s="17"/>
      <c r="B138" s="10"/>
      <c r="C138" s="10"/>
      <c r="D138" s="10"/>
      <c r="E138" s="18"/>
      <c r="F138" s="10"/>
      <c r="G138" s="18"/>
      <c r="H138" s="17"/>
    </row>
    <row r="139" spans="1:8" x14ac:dyDescent="0.25">
      <c r="A139" s="17"/>
      <c r="B139" s="10"/>
      <c r="C139" s="10"/>
      <c r="D139" s="10"/>
      <c r="E139" s="18"/>
      <c r="F139" s="10"/>
      <c r="G139" s="18"/>
      <c r="H139" s="17"/>
    </row>
    <row r="140" spans="1:8" x14ac:dyDescent="0.25">
      <c r="A140" s="17"/>
      <c r="B140" s="10"/>
      <c r="C140" s="10"/>
      <c r="D140" s="10"/>
      <c r="E140" s="18"/>
      <c r="F140" s="10"/>
      <c r="G140" s="18"/>
      <c r="H140" s="17"/>
    </row>
    <row r="141" spans="1:8" x14ac:dyDescent="0.25">
      <c r="A141" s="17"/>
      <c r="B141" s="10"/>
      <c r="C141" s="10"/>
      <c r="D141" s="10"/>
      <c r="E141" s="18"/>
      <c r="F141" s="10"/>
      <c r="G141" s="18"/>
      <c r="H141" s="17"/>
    </row>
    <row r="142" spans="1:8" x14ac:dyDescent="0.25">
      <c r="A142" s="17"/>
      <c r="B142" s="10"/>
      <c r="C142" s="10"/>
      <c r="D142" s="10"/>
      <c r="E142" s="18"/>
      <c r="F142" s="10"/>
      <c r="G142" s="18"/>
      <c r="H142" s="17"/>
    </row>
    <row r="143" spans="1:8" x14ac:dyDescent="0.25">
      <c r="A143" s="17"/>
      <c r="B143" s="10"/>
      <c r="C143" s="10"/>
      <c r="D143" s="10"/>
      <c r="E143" s="18"/>
      <c r="F143" s="10"/>
      <c r="G143" s="18"/>
      <c r="H143" s="17"/>
    </row>
    <row r="144" spans="1:8" x14ac:dyDescent="0.25">
      <c r="A144" s="17"/>
      <c r="B144" s="10"/>
      <c r="C144" s="10"/>
      <c r="D144" s="10"/>
      <c r="E144" s="18"/>
      <c r="F144" s="10"/>
      <c r="G144" s="18"/>
      <c r="H144" s="17"/>
    </row>
    <row r="145" spans="1:8" x14ac:dyDescent="0.25">
      <c r="A145" s="17"/>
      <c r="B145" s="10"/>
      <c r="C145" s="10"/>
      <c r="D145" s="10"/>
      <c r="E145" s="18"/>
      <c r="F145" s="10"/>
      <c r="G145" s="18"/>
      <c r="H145" s="17"/>
    </row>
    <row r="146" spans="1:8" x14ac:dyDescent="0.25">
      <c r="A146" s="17"/>
      <c r="B146" s="10"/>
      <c r="C146" s="10"/>
      <c r="D146" s="10"/>
      <c r="E146" s="18"/>
      <c r="F146" s="10"/>
      <c r="G146" s="18"/>
      <c r="H146" s="17"/>
    </row>
    <row r="147" spans="1:8" x14ac:dyDescent="0.25">
      <c r="A147" s="17"/>
      <c r="B147" s="10"/>
      <c r="C147" s="10"/>
      <c r="D147" s="10"/>
      <c r="E147" s="18"/>
      <c r="F147" s="10"/>
      <c r="G147" s="18"/>
      <c r="H147" s="17"/>
    </row>
    <row r="148" spans="1:8" x14ac:dyDescent="0.25">
      <c r="A148" s="17"/>
      <c r="B148" s="10"/>
      <c r="C148" s="10"/>
      <c r="D148" s="10"/>
      <c r="E148" s="18"/>
      <c r="F148" s="10"/>
      <c r="G148" s="18"/>
      <c r="H148" s="17"/>
    </row>
    <row r="149" spans="1:8" x14ac:dyDescent="0.25">
      <c r="A149" s="17"/>
      <c r="B149" s="10"/>
      <c r="C149" s="10"/>
      <c r="D149" s="10"/>
      <c r="E149" s="18"/>
      <c r="F149" s="10"/>
      <c r="G149" s="18"/>
      <c r="H149" s="17"/>
    </row>
    <row r="150" spans="1:8" x14ac:dyDescent="0.25">
      <c r="A150" s="17"/>
      <c r="B150" s="10"/>
      <c r="C150" s="10"/>
      <c r="D150" s="10"/>
      <c r="E150" s="18"/>
      <c r="F150" s="10"/>
      <c r="G150" s="18"/>
      <c r="H150" s="17"/>
    </row>
    <row r="151" spans="1:8" x14ac:dyDescent="0.25">
      <c r="A151" s="17"/>
      <c r="B151" s="10"/>
      <c r="C151" s="10"/>
      <c r="D151" s="10"/>
      <c r="E151" s="18"/>
      <c r="F151" s="10"/>
      <c r="G151" s="18"/>
      <c r="H151" s="17"/>
    </row>
    <row r="152" spans="1:8" x14ac:dyDescent="0.25">
      <c r="A152" s="17"/>
      <c r="B152" s="10"/>
      <c r="C152" s="10"/>
      <c r="D152" s="10"/>
      <c r="E152" s="18"/>
      <c r="F152" s="10"/>
      <c r="G152" s="18"/>
      <c r="H152" s="17"/>
    </row>
    <row r="153" spans="1:8" x14ac:dyDescent="0.25">
      <c r="A153" s="17"/>
      <c r="B153" s="10"/>
      <c r="C153" s="10"/>
      <c r="D153" s="10"/>
      <c r="E153" s="18"/>
      <c r="F153" s="10"/>
      <c r="G153" s="18"/>
      <c r="H153" s="17"/>
    </row>
    <row r="154" spans="1:8" x14ac:dyDescent="0.25">
      <c r="A154" s="17"/>
      <c r="B154" s="10"/>
      <c r="C154" s="10"/>
      <c r="D154" s="10"/>
      <c r="E154" s="18"/>
      <c r="F154" s="10"/>
      <c r="G154" s="18"/>
      <c r="H154" s="17"/>
    </row>
    <row r="155" spans="1:8" x14ac:dyDescent="0.25">
      <c r="A155" s="17"/>
      <c r="B155" s="10"/>
      <c r="C155" s="10"/>
      <c r="D155" s="10"/>
      <c r="E155" s="18"/>
      <c r="F155" s="10"/>
      <c r="G155" s="18"/>
      <c r="H155" s="17"/>
    </row>
    <row r="156" spans="1:8" x14ac:dyDescent="0.25">
      <c r="A156" s="17"/>
      <c r="B156" s="10"/>
      <c r="C156" s="10"/>
      <c r="D156" s="10"/>
      <c r="E156" s="18"/>
      <c r="F156" s="10"/>
      <c r="G156" s="18"/>
      <c r="H156" s="17"/>
    </row>
    <row r="157" spans="1:8" x14ac:dyDescent="0.25">
      <c r="A157" s="17"/>
      <c r="B157" s="10"/>
      <c r="C157" s="10"/>
      <c r="D157" s="10"/>
      <c r="E157" s="18"/>
      <c r="F157" s="10"/>
      <c r="G157" s="18"/>
      <c r="H157" s="17"/>
    </row>
    <row r="158" spans="1:8" x14ac:dyDescent="0.25">
      <c r="A158" s="17"/>
      <c r="B158" s="10"/>
      <c r="C158" s="10"/>
      <c r="D158" s="10"/>
      <c r="E158" s="18"/>
      <c r="F158" s="10"/>
      <c r="G158" s="18"/>
      <c r="H158" s="17"/>
    </row>
    <row r="159" spans="1:8" x14ac:dyDescent="0.25">
      <c r="A159" s="17"/>
      <c r="B159" s="10"/>
      <c r="C159" s="10"/>
      <c r="D159" s="10"/>
      <c r="E159" s="18"/>
      <c r="F159" s="10"/>
      <c r="G159" s="18"/>
      <c r="H159" s="17"/>
    </row>
    <row r="160" spans="1:8" x14ac:dyDescent="0.25">
      <c r="A160" s="17"/>
      <c r="B160" s="10"/>
      <c r="C160" s="10"/>
      <c r="D160" s="10"/>
      <c r="E160" s="18"/>
      <c r="F160" s="10"/>
      <c r="G160" s="18"/>
      <c r="H160" s="17"/>
    </row>
    <row r="161" spans="1:8" x14ac:dyDescent="0.25">
      <c r="A161" s="17"/>
      <c r="B161" s="10"/>
      <c r="C161" s="10"/>
      <c r="D161" s="10"/>
      <c r="E161" s="18"/>
      <c r="F161" s="10"/>
      <c r="G161" s="18"/>
      <c r="H161" s="17"/>
    </row>
    <row r="162" spans="1:8" x14ac:dyDescent="0.25">
      <c r="A162" s="17"/>
      <c r="B162" s="10"/>
      <c r="C162" s="10"/>
      <c r="D162" s="10"/>
      <c r="E162" s="18"/>
      <c r="F162" s="10"/>
      <c r="G162" s="18"/>
      <c r="H162" s="17"/>
    </row>
    <row r="163" spans="1:8" x14ac:dyDescent="0.25">
      <c r="A163" s="17"/>
      <c r="B163" s="10"/>
      <c r="C163" s="10"/>
      <c r="D163" s="10"/>
      <c r="E163" s="18"/>
      <c r="F163" s="10"/>
      <c r="G163" s="18"/>
      <c r="H163" s="17"/>
    </row>
    <row r="164" spans="1:8" x14ac:dyDescent="0.25">
      <c r="A164" s="17"/>
      <c r="B164" s="10"/>
      <c r="C164" s="10"/>
      <c r="D164" s="10"/>
      <c r="E164" s="18"/>
      <c r="F164" s="10"/>
      <c r="G164" s="18"/>
      <c r="H164" s="17"/>
    </row>
    <row r="165" spans="1:8" x14ac:dyDescent="0.25">
      <c r="A165" s="17"/>
      <c r="B165" s="10"/>
      <c r="C165" s="10"/>
      <c r="D165" s="10"/>
      <c r="E165" s="18"/>
      <c r="F165" s="10"/>
      <c r="G165" s="18"/>
      <c r="H165" s="17"/>
    </row>
    <row r="166" spans="1:8" x14ac:dyDescent="0.25">
      <c r="A166" s="17"/>
      <c r="B166" s="10"/>
      <c r="C166" s="10"/>
      <c r="D166" s="10"/>
      <c r="E166" s="18"/>
      <c r="F166" s="10"/>
      <c r="G166" s="18"/>
      <c r="H166" s="17"/>
    </row>
    <row r="167" spans="1:8" x14ac:dyDescent="0.25">
      <c r="A167" s="17"/>
      <c r="B167" s="10"/>
      <c r="C167" s="10"/>
      <c r="D167" s="10"/>
      <c r="E167" s="18"/>
      <c r="F167" s="10"/>
      <c r="G167" s="18"/>
      <c r="H167" s="17"/>
    </row>
    <row r="168" spans="1:8" x14ac:dyDescent="0.25">
      <c r="A168" s="17"/>
      <c r="B168" s="10"/>
      <c r="C168" s="10"/>
      <c r="D168" s="10"/>
      <c r="E168" s="18"/>
      <c r="F168" s="10"/>
      <c r="G168" s="18"/>
      <c r="H168" s="17"/>
    </row>
    <row r="169" spans="1:8" x14ac:dyDescent="0.25">
      <c r="A169" s="17"/>
      <c r="B169" s="10"/>
      <c r="C169" s="10"/>
      <c r="D169" s="10"/>
      <c r="E169" s="18"/>
      <c r="F169" s="10"/>
      <c r="G169" s="18"/>
      <c r="H169" s="17"/>
    </row>
    <row r="170" spans="1:8" x14ac:dyDescent="0.25">
      <c r="A170" s="17"/>
      <c r="B170" s="10"/>
      <c r="C170" s="10"/>
      <c r="D170" s="10"/>
      <c r="E170" s="18"/>
      <c r="F170" s="10"/>
      <c r="G170" s="18"/>
      <c r="H170" s="17"/>
    </row>
    <row r="171" spans="1:8" x14ac:dyDescent="0.25">
      <c r="A171" s="17"/>
      <c r="B171" s="10"/>
      <c r="C171" s="10"/>
      <c r="D171" s="10"/>
      <c r="E171" s="18"/>
      <c r="F171" s="10"/>
      <c r="G171" s="18"/>
      <c r="H171" s="17"/>
    </row>
    <row r="172" spans="1:8" x14ac:dyDescent="0.25">
      <c r="A172" s="17"/>
      <c r="B172" s="10"/>
      <c r="C172" s="10"/>
      <c r="D172" s="10"/>
      <c r="E172" s="18"/>
      <c r="F172" s="10"/>
      <c r="G172" s="18"/>
      <c r="H172" s="17"/>
    </row>
    <row r="173" spans="1:8" x14ac:dyDescent="0.25">
      <c r="A173" s="17"/>
      <c r="B173" s="10"/>
      <c r="C173" s="10"/>
      <c r="D173" s="10"/>
      <c r="E173" s="18"/>
      <c r="F173" s="10"/>
      <c r="G173" s="18"/>
      <c r="H173" s="17"/>
    </row>
    <row r="174" spans="1:8" x14ac:dyDescent="0.25">
      <c r="A174" s="17"/>
      <c r="B174" s="10"/>
      <c r="C174" s="10"/>
      <c r="D174" s="10"/>
      <c r="E174" s="18"/>
      <c r="F174" s="10"/>
      <c r="G174" s="18"/>
      <c r="H174" s="17"/>
    </row>
    <row r="175" spans="1:8" x14ac:dyDescent="0.25">
      <c r="A175" s="17"/>
      <c r="B175" s="10"/>
      <c r="C175" s="10"/>
      <c r="D175" s="10"/>
      <c r="E175" s="18"/>
      <c r="F175" s="10"/>
      <c r="G175" s="18"/>
      <c r="H175" s="17"/>
    </row>
    <row r="176" spans="1:8" x14ac:dyDescent="0.25">
      <c r="A176" s="17"/>
      <c r="B176" s="10"/>
      <c r="C176" s="10"/>
      <c r="D176" s="10"/>
      <c r="E176" s="18"/>
      <c r="F176" s="10"/>
      <c r="G176" s="18"/>
      <c r="H176" s="17"/>
    </row>
    <row r="177" spans="1:8" x14ac:dyDescent="0.25">
      <c r="A177" s="17"/>
      <c r="B177" s="10"/>
      <c r="C177" s="10"/>
      <c r="D177" s="10"/>
      <c r="E177" s="18"/>
      <c r="F177" s="10"/>
      <c r="G177" s="18"/>
      <c r="H177" s="17"/>
    </row>
    <row r="178" spans="1:8" x14ac:dyDescent="0.25">
      <c r="A178" s="17"/>
      <c r="B178" s="10"/>
      <c r="C178" s="10"/>
      <c r="D178" s="10"/>
      <c r="E178" s="18"/>
      <c r="F178" s="10"/>
      <c r="G178" s="18"/>
      <c r="H178" s="17"/>
    </row>
    <row r="179" spans="1:8" x14ac:dyDescent="0.25">
      <c r="A179" s="17"/>
      <c r="B179" s="10"/>
      <c r="C179" s="10"/>
      <c r="D179" s="10"/>
      <c r="E179" s="18"/>
      <c r="F179" s="10"/>
      <c r="G179" s="18"/>
      <c r="H179" s="17"/>
    </row>
    <row r="180" spans="1:8" x14ac:dyDescent="0.25">
      <c r="A180" s="17"/>
      <c r="B180" s="10"/>
      <c r="C180" s="10"/>
      <c r="D180" s="10"/>
      <c r="E180" s="18"/>
      <c r="F180" s="10"/>
      <c r="G180" s="18"/>
      <c r="H180" s="17"/>
    </row>
    <row r="181" spans="1:8" x14ac:dyDescent="0.25">
      <c r="A181" s="17"/>
      <c r="B181" s="10"/>
      <c r="C181" s="10"/>
      <c r="D181" s="10"/>
      <c r="E181" s="18"/>
      <c r="F181" s="10"/>
      <c r="G181" s="18"/>
      <c r="H181" s="17"/>
    </row>
    <row r="182" spans="1:8" x14ac:dyDescent="0.25">
      <c r="A182" s="17"/>
      <c r="B182" s="10"/>
      <c r="C182" s="10"/>
      <c r="D182" s="10"/>
      <c r="E182" s="18"/>
      <c r="F182" s="10"/>
      <c r="G182" s="18"/>
      <c r="H182" s="17"/>
    </row>
    <row r="183" spans="1:8" x14ac:dyDescent="0.25">
      <c r="A183" s="17"/>
      <c r="B183" s="10"/>
      <c r="C183" s="10"/>
      <c r="D183" s="10"/>
      <c r="E183" s="18"/>
      <c r="F183" s="10"/>
      <c r="G183" s="18"/>
      <c r="H183" s="17"/>
    </row>
    <row r="184" spans="1:8" x14ac:dyDescent="0.25">
      <c r="A184" s="17"/>
      <c r="B184" s="10"/>
      <c r="C184" s="10"/>
      <c r="D184" s="10"/>
      <c r="E184" s="18"/>
      <c r="F184" s="10"/>
      <c r="G184" s="18"/>
      <c r="H184" s="17"/>
    </row>
    <row r="185" spans="1:8" x14ac:dyDescent="0.25">
      <c r="A185" s="17"/>
      <c r="B185" s="10"/>
      <c r="C185" s="10"/>
      <c r="D185" s="10"/>
      <c r="E185" s="18"/>
      <c r="F185" s="10"/>
      <c r="G185" s="18"/>
      <c r="H185" s="17"/>
    </row>
    <row r="186" spans="1:8" x14ac:dyDescent="0.25">
      <c r="A186" s="17"/>
      <c r="B186" s="10"/>
      <c r="C186" s="10"/>
      <c r="D186" s="10"/>
      <c r="E186" s="18"/>
      <c r="F186" s="10"/>
      <c r="G186" s="18"/>
      <c r="H186" s="17"/>
    </row>
    <row r="187" spans="1:8" x14ac:dyDescent="0.25">
      <c r="A187" s="17"/>
      <c r="B187" s="10"/>
      <c r="C187" s="10"/>
      <c r="D187" s="10"/>
      <c r="E187" s="18"/>
      <c r="F187" s="10"/>
      <c r="G187" s="18"/>
      <c r="H187" s="17"/>
    </row>
    <row r="188" spans="1:8" x14ac:dyDescent="0.25">
      <c r="A188" s="17"/>
      <c r="B188" s="10"/>
      <c r="C188" s="10"/>
      <c r="D188" s="10"/>
      <c r="E188" s="18"/>
      <c r="F188" s="10"/>
      <c r="G188" s="18"/>
      <c r="H188" s="17"/>
    </row>
    <row r="189" spans="1:8" x14ac:dyDescent="0.25">
      <c r="A189" s="17"/>
      <c r="B189" s="10"/>
      <c r="C189" s="10"/>
      <c r="D189" s="10"/>
      <c r="E189" s="18"/>
      <c r="F189" s="10"/>
      <c r="G189" s="18"/>
      <c r="H189" s="17"/>
    </row>
    <row r="190" spans="1:8" x14ac:dyDescent="0.25">
      <c r="A190" s="17"/>
      <c r="B190" s="10"/>
      <c r="C190" s="10"/>
      <c r="D190" s="10"/>
      <c r="E190" s="18"/>
      <c r="F190" s="10"/>
      <c r="G190" s="18"/>
      <c r="H190" s="17"/>
    </row>
    <row r="191" spans="1:8" x14ac:dyDescent="0.25">
      <c r="A191" s="17"/>
      <c r="B191" s="10"/>
      <c r="C191" s="10"/>
      <c r="D191" s="10"/>
      <c r="E191" s="18"/>
      <c r="F191" s="10"/>
      <c r="G191" s="18"/>
      <c r="H191" s="17"/>
    </row>
    <row r="192" spans="1:8" x14ac:dyDescent="0.25">
      <c r="A192" s="17"/>
      <c r="B192" s="10"/>
      <c r="C192" s="10"/>
      <c r="D192" s="10"/>
      <c r="E192" s="18"/>
      <c r="F192" s="10"/>
      <c r="G192" s="18"/>
      <c r="H192" s="17"/>
    </row>
    <row r="193" spans="1:8" x14ac:dyDescent="0.25">
      <c r="A193" s="17"/>
      <c r="B193" s="10"/>
      <c r="C193" s="10"/>
      <c r="D193" s="10"/>
      <c r="E193" s="18"/>
      <c r="F193" s="10"/>
      <c r="G193" s="18"/>
      <c r="H193" s="17"/>
    </row>
    <row r="194" spans="1:8" x14ac:dyDescent="0.25">
      <c r="A194" s="17"/>
      <c r="B194" s="10"/>
      <c r="C194" s="10"/>
      <c r="D194" s="10"/>
      <c r="E194" s="18"/>
      <c r="F194" s="10"/>
      <c r="G194" s="18"/>
      <c r="H194" s="17"/>
    </row>
    <row r="195" spans="1:8" x14ac:dyDescent="0.25">
      <c r="A195" s="17"/>
      <c r="B195" s="10"/>
      <c r="C195" s="10"/>
      <c r="D195" s="10"/>
      <c r="E195" s="18"/>
      <c r="F195" s="10"/>
      <c r="G195" s="18"/>
      <c r="H195" s="17"/>
    </row>
    <row r="196" spans="1:8" x14ac:dyDescent="0.25">
      <c r="A196" s="17"/>
      <c r="B196" s="10"/>
      <c r="C196" s="10"/>
      <c r="D196" s="10"/>
      <c r="E196" s="18"/>
      <c r="F196" s="10"/>
      <c r="G196" s="18"/>
      <c r="H196" s="17"/>
    </row>
    <row r="197" spans="1:8" x14ac:dyDescent="0.25">
      <c r="A197" s="17"/>
      <c r="B197" s="10"/>
      <c r="C197" s="10"/>
      <c r="D197" s="10"/>
      <c r="E197" s="18"/>
      <c r="F197" s="10"/>
      <c r="G197" s="18"/>
      <c r="H197" s="17"/>
    </row>
    <row r="198" spans="1:8" x14ac:dyDescent="0.25">
      <c r="A198" s="17"/>
      <c r="B198" s="10"/>
      <c r="C198" s="10"/>
      <c r="D198" s="10"/>
      <c r="E198" s="18"/>
      <c r="F198" s="10"/>
      <c r="G198" s="18"/>
      <c r="H198" s="17"/>
    </row>
    <row r="199" spans="1:8" x14ac:dyDescent="0.25">
      <c r="A199" s="17"/>
      <c r="B199" s="10"/>
      <c r="C199" s="10"/>
      <c r="D199" s="10"/>
      <c r="E199" s="18"/>
      <c r="F199" s="10"/>
      <c r="G199" s="18"/>
      <c r="H199" s="17"/>
    </row>
    <row r="200" spans="1:8" x14ac:dyDescent="0.25">
      <c r="A200" s="17"/>
      <c r="B200" s="10"/>
      <c r="C200" s="10"/>
      <c r="D200" s="10"/>
      <c r="E200" s="18"/>
      <c r="F200" s="10"/>
      <c r="G200" s="18"/>
      <c r="H200" s="17"/>
    </row>
    <row r="201" spans="1:8" x14ac:dyDescent="0.25">
      <c r="A201" s="17"/>
      <c r="B201" s="10"/>
      <c r="C201" s="10"/>
      <c r="D201" s="10"/>
      <c r="E201" s="18"/>
      <c r="F201" s="10"/>
      <c r="G201" s="18"/>
      <c r="H201" s="17"/>
    </row>
    <row r="202" spans="1:8" x14ac:dyDescent="0.25">
      <c r="A202" s="17"/>
      <c r="B202" s="10"/>
      <c r="C202" s="10"/>
      <c r="D202" s="10"/>
      <c r="E202" s="18"/>
      <c r="F202" s="10"/>
      <c r="G202" s="18"/>
      <c r="H202" s="17"/>
    </row>
    <row r="203" spans="1:8" x14ac:dyDescent="0.25">
      <c r="A203" s="17"/>
      <c r="B203" s="10"/>
      <c r="C203" s="10"/>
      <c r="D203" s="10"/>
      <c r="E203" s="18"/>
      <c r="F203" s="10"/>
      <c r="G203" s="18"/>
      <c r="H203" s="17"/>
    </row>
    <row r="204" spans="1:8" x14ac:dyDescent="0.25">
      <c r="A204" s="17"/>
      <c r="B204" s="10"/>
      <c r="C204" s="10"/>
      <c r="D204" s="10"/>
      <c r="E204" s="18"/>
      <c r="F204" s="10"/>
      <c r="G204" s="18"/>
      <c r="H204" s="17"/>
    </row>
    <row r="205" spans="1:8" x14ac:dyDescent="0.25">
      <c r="A205" s="17"/>
      <c r="B205" s="10"/>
      <c r="C205" s="10"/>
      <c r="D205" s="10"/>
      <c r="E205" s="18"/>
      <c r="F205" s="10"/>
      <c r="G205" s="18"/>
      <c r="H205" s="17"/>
    </row>
    <row r="206" spans="1:8" x14ac:dyDescent="0.25">
      <c r="A206" s="17"/>
      <c r="B206" s="10"/>
      <c r="C206" s="10"/>
      <c r="D206" s="10"/>
      <c r="E206" s="18"/>
      <c r="F206" s="10"/>
      <c r="G206" s="18"/>
      <c r="H206" s="17"/>
    </row>
    <row r="207" spans="1:8" x14ac:dyDescent="0.25">
      <c r="A207" s="17"/>
      <c r="B207" s="10"/>
      <c r="C207" s="10"/>
      <c r="D207" s="10"/>
      <c r="E207" s="18"/>
      <c r="F207" s="10"/>
      <c r="G207" s="18"/>
      <c r="H207" s="17"/>
    </row>
    <row r="208" spans="1:8" x14ac:dyDescent="0.25">
      <c r="A208" s="17"/>
      <c r="B208" s="10"/>
      <c r="C208" s="10"/>
      <c r="D208" s="10"/>
      <c r="E208" s="18"/>
      <c r="F208" s="10"/>
      <c r="G208" s="18"/>
      <c r="H208" s="17"/>
    </row>
    <row r="209" spans="1:8" x14ac:dyDescent="0.25">
      <c r="A209" s="17"/>
      <c r="B209" s="10"/>
      <c r="C209" s="10"/>
      <c r="D209" s="10"/>
      <c r="E209" s="18"/>
      <c r="F209" s="10"/>
      <c r="G209" s="18"/>
      <c r="H209" s="17"/>
    </row>
    <row r="210" spans="1:8" x14ac:dyDescent="0.25">
      <c r="A210" s="17"/>
      <c r="B210" s="10"/>
      <c r="C210" s="10"/>
      <c r="D210" s="10"/>
      <c r="E210" s="18"/>
      <c r="F210" s="10"/>
      <c r="G210" s="18"/>
      <c r="H210" s="17"/>
    </row>
    <row r="211" spans="1:8" x14ac:dyDescent="0.25">
      <c r="A211" s="17"/>
      <c r="B211" s="10"/>
      <c r="C211" s="10"/>
      <c r="D211" s="10"/>
      <c r="E211" s="18"/>
      <c r="F211" s="10"/>
      <c r="G211" s="18"/>
      <c r="H211" s="17"/>
    </row>
    <row r="212" spans="1:8" x14ac:dyDescent="0.25">
      <c r="A212" s="17"/>
      <c r="B212" s="10"/>
      <c r="C212" s="10"/>
      <c r="D212" s="10"/>
      <c r="E212" s="18"/>
      <c r="F212" s="10"/>
      <c r="G212" s="18"/>
      <c r="H212" s="17"/>
    </row>
    <row r="213" spans="1:8" x14ac:dyDescent="0.25">
      <c r="A213" s="17"/>
      <c r="B213" s="10"/>
      <c r="C213" s="10"/>
      <c r="D213" s="10"/>
      <c r="E213" s="18"/>
      <c r="F213" s="10"/>
      <c r="G213" s="18"/>
      <c r="H213" s="17"/>
    </row>
    <row r="214" spans="1:8" x14ac:dyDescent="0.25">
      <c r="A214" s="17"/>
      <c r="B214" s="10"/>
      <c r="C214" s="10"/>
      <c r="D214" s="10"/>
      <c r="E214" s="18"/>
      <c r="F214" s="10"/>
      <c r="G214" s="18"/>
      <c r="H214" s="17"/>
    </row>
    <row r="215" spans="1:8" x14ac:dyDescent="0.25">
      <c r="A215" s="17"/>
      <c r="B215" s="10"/>
      <c r="C215" s="10"/>
      <c r="D215" s="10"/>
      <c r="E215" s="18"/>
      <c r="F215" s="10"/>
      <c r="G215" s="18"/>
      <c r="H215" s="17"/>
    </row>
    <row r="216" spans="1:8" x14ac:dyDescent="0.25">
      <c r="A216" s="17"/>
      <c r="B216" s="10"/>
      <c r="C216" s="10"/>
      <c r="D216" s="10"/>
      <c r="E216" s="18"/>
      <c r="F216" s="10"/>
      <c r="G216" s="18"/>
      <c r="H216" s="17"/>
    </row>
    <row r="217" spans="1:8" x14ac:dyDescent="0.25">
      <c r="A217" s="17"/>
      <c r="B217" s="10"/>
      <c r="C217" s="10"/>
      <c r="D217" s="10"/>
      <c r="E217" s="18"/>
      <c r="F217" s="10"/>
      <c r="G217" s="18"/>
      <c r="H217" s="17"/>
    </row>
    <row r="218" spans="1:8" x14ac:dyDescent="0.25">
      <c r="A218" s="17"/>
      <c r="B218" s="10"/>
      <c r="C218" s="10"/>
      <c r="D218" s="10"/>
      <c r="E218" s="18"/>
      <c r="F218" s="10"/>
      <c r="G218" s="18"/>
      <c r="H218" s="17"/>
    </row>
    <row r="219" spans="1:8" x14ac:dyDescent="0.25">
      <c r="A219" s="17"/>
      <c r="B219" s="10"/>
      <c r="C219" s="10"/>
      <c r="D219" s="10"/>
      <c r="E219" s="18"/>
      <c r="F219" s="10"/>
      <c r="G219" s="18"/>
      <c r="H219" s="17"/>
    </row>
    <row r="220" spans="1:8" x14ac:dyDescent="0.25">
      <c r="A220" s="17"/>
      <c r="B220" s="10"/>
      <c r="C220" s="10"/>
      <c r="D220" s="10"/>
      <c r="E220" s="18"/>
      <c r="F220" s="10"/>
      <c r="G220" s="18"/>
      <c r="H220" s="17"/>
    </row>
    <row r="221" spans="1:8" x14ac:dyDescent="0.25">
      <c r="A221" s="17"/>
      <c r="B221" s="10"/>
      <c r="C221" s="10"/>
      <c r="D221" s="10"/>
      <c r="E221" s="18"/>
      <c r="F221" s="10"/>
      <c r="G221" s="18"/>
      <c r="H221" s="17"/>
    </row>
    <row r="222" spans="1:8" x14ac:dyDescent="0.25">
      <c r="A222" s="17"/>
      <c r="B222" s="10"/>
      <c r="C222" s="10"/>
      <c r="D222" s="10"/>
      <c r="E222" s="18"/>
      <c r="F222" s="10"/>
      <c r="G222" s="18"/>
      <c r="H222" s="17"/>
    </row>
    <row r="223" spans="1:8" x14ac:dyDescent="0.25">
      <c r="A223" s="17"/>
      <c r="B223" s="10"/>
      <c r="C223" s="10"/>
      <c r="D223" s="10"/>
      <c r="E223" s="18"/>
      <c r="F223" s="10"/>
      <c r="G223" s="18"/>
      <c r="H223" s="17"/>
    </row>
    <row r="224" spans="1:8" x14ac:dyDescent="0.25">
      <c r="A224" s="17"/>
      <c r="B224" s="10"/>
      <c r="C224" s="10"/>
      <c r="D224" s="10"/>
      <c r="E224" s="18"/>
      <c r="F224" s="10"/>
      <c r="G224" s="18"/>
      <c r="H224" s="17"/>
    </row>
    <row r="225" spans="1:8" x14ac:dyDescent="0.25">
      <c r="A225" s="17"/>
      <c r="B225" s="10"/>
      <c r="C225" s="10"/>
      <c r="D225" s="10"/>
      <c r="E225" s="18"/>
      <c r="F225" s="10"/>
      <c r="G225" s="18"/>
      <c r="H225" s="17"/>
    </row>
    <row r="226" spans="1:8" x14ac:dyDescent="0.25">
      <c r="A226" s="17"/>
      <c r="B226" s="10"/>
      <c r="C226" s="10"/>
      <c r="D226" s="10"/>
      <c r="E226" s="18"/>
      <c r="F226" s="10"/>
      <c r="G226" s="18"/>
      <c r="H226" s="17"/>
    </row>
    <row r="227" spans="1:8" x14ac:dyDescent="0.25">
      <c r="A227" s="17"/>
      <c r="B227" s="10"/>
      <c r="C227" s="10"/>
      <c r="D227" s="10"/>
      <c r="E227" s="18"/>
      <c r="F227" s="10"/>
      <c r="G227" s="18"/>
      <c r="H227" s="17"/>
    </row>
    <row r="228" spans="1:8" x14ac:dyDescent="0.25">
      <c r="A228" s="17"/>
      <c r="B228" s="10"/>
      <c r="C228" s="10"/>
      <c r="D228" s="10"/>
      <c r="E228" s="18"/>
      <c r="F228" s="10"/>
      <c r="G228" s="18"/>
      <c r="H228" s="17"/>
    </row>
    <row r="229" spans="1:8" x14ac:dyDescent="0.25">
      <c r="A229" s="17"/>
      <c r="B229" s="10"/>
      <c r="C229" s="10"/>
      <c r="D229" s="10"/>
      <c r="E229" s="18"/>
      <c r="F229" s="10"/>
      <c r="G229" s="18"/>
      <c r="H229" s="17"/>
    </row>
    <row r="230" spans="1:8" x14ac:dyDescent="0.25">
      <c r="A230" s="17"/>
      <c r="B230" s="10"/>
      <c r="C230" s="10"/>
      <c r="D230" s="10"/>
      <c r="E230" s="18"/>
      <c r="F230" s="10"/>
      <c r="G230" s="18"/>
      <c r="H230" s="17"/>
    </row>
    <row r="231" spans="1:8" x14ac:dyDescent="0.25">
      <c r="A231" s="17"/>
      <c r="B231" s="10"/>
      <c r="C231" s="10"/>
      <c r="D231" s="10"/>
      <c r="E231" s="18"/>
      <c r="F231" s="10"/>
      <c r="G231" s="18"/>
      <c r="H231" s="17"/>
    </row>
    <row r="232" spans="1:8" x14ac:dyDescent="0.25">
      <c r="A232" s="17"/>
      <c r="B232" s="10"/>
      <c r="C232" s="10"/>
      <c r="D232" s="10"/>
      <c r="E232" s="18"/>
      <c r="F232" s="10"/>
      <c r="G232" s="18"/>
      <c r="H232" s="17"/>
    </row>
    <row r="233" spans="1:8" x14ac:dyDescent="0.25">
      <c r="A233" s="17"/>
      <c r="B233" s="10"/>
      <c r="C233" s="10"/>
      <c r="D233" s="10"/>
      <c r="E233" s="18"/>
      <c r="F233" s="10"/>
      <c r="G233" s="18"/>
      <c r="H233" s="17"/>
    </row>
    <row r="234" spans="1:8" x14ac:dyDescent="0.25">
      <c r="A234" s="17"/>
      <c r="B234" s="10"/>
      <c r="C234" s="10"/>
      <c r="D234" s="10"/>
      <c r="E234" s="18"/>
      <c r="F234" s="10"/>
      <c r="G234" s="18"/>
      <c r="H234" s="17"/>
    </row>
    <row r="235" spans="1:8" x14ac:dyDescent="0.25">
      <c r="A235" s="17"/>
      <c r="B235" s="10"/>
      <c r="C235" s="10"/>
      <c r="D235" s="10"/>
      <c r="E235" s="18"/>
      <c r="F235" s="10"/>
      <c r="G235" s="18"/>
      <c r="H235" s="17"/>
    </row>
    <row r="236" spans="1:8" x14ac:dyDescent="0.25">
      <c r="A236" s="17"/>
      <c r="B236" s="10"/>
      <c r="C236" s="10"/>
      <c r="D236" s="10"/>
      <c r="E236" s="18"/>
      <c r="F236" s="10"/>
      <c r="G236" s="18"/>
      <c r="H236" s="17"/>
    </row>
    <row r="237" spans="1:8" x14ac:dyDescent="0.25">
      <c r="A237" s="17"/>
      <c r="B237" s="10"/>
      <c r="C237" s="10"/>
      <c r="D237" s="10"/>
      <c r="E237" s="18"/>
      <c r="F237" s="10"/>
      <c r="G237" s="18"/>
      <c r="H237" s="17"/>
    </row>
    <row r="238" spans="1:8" x14ac:dyDescent="0.25">
      <c r="A238" s="17"/>
      <c r="B238" s="10"/>
      <c r="C238" s="10"/>
      <c r="D238" s="10"/>
      <c r="E238" s="18"/>
      <c r="F238" s="10"/>
      <c r="G238" s="18"/>
      <c r="H238" s="17"/>
    </row>
    <row r="239" spans="1:8" x14ac:dyDescent="0.25">
      <c r="A239" s="17"/>
      <c r="B239" s="10"/>
      <c r="C239" s="10"/>
      <c r="D239" s="10"/>
      <c r="E239" s="18"/>
      <c r="F239" s="10"/>
      <c r="G239" s="18"/>
      <c r="H239" s="17"/>
    </row>
    <row r="240" spans="1:8" x14ac:dyDescent="0.25">
      <c r="A240" s="17"/>
      <c r="B240" s="10"/>
      <c r="C240" s="10"/>
      <c r="D240" s="10"/>
      <c r="E240" s="18"/>
      <c r="F240" s="10"/>
      <c r="G240" s="18"/>
      <c r="H240" s="17"/>
    </row>
    <row r="241" spans="1:8" x14ac:dyDescent="0.25">
      <c r="A241" s="17"/>
      <c r="B241" s="10"/>
      <c r="C241" s="10"/>
      <c r="D241" s="10"/>
      <c r="E241" s="18"/>
      <c r="F241" s="10"/>
      <c r="G241" s="18"/>
      <c r="H241" s="17"/>
    </row>
    <row r="242" spans="1:8" x14ac:dyDescent="0.25">
      <c r="A242" s="17"/>
      <c r="B242" s="10"/>
      <c r="C242" s="10"/>
      <c r="D242" s="10"/>
      <c r="E242" s="18"/>
      <c r="F242" s="10"/>
      <c r="G242" s="18"/>
      <c r="H242" s="17"/>
    </row>
    <row r="243" spans="1:8" x14ac:dyDescent="0.25">
      <c r="A243" s="17"/>
      <c r="B243" s="10"/>
      <c r="C243" s="10"/>
      <c r="D243" s="10"/>
      <c r="E243" s="18"/>
      <c r="F243" s="10"/>
      <c r="G243" s="18"/>
      <c r="H243" s="17"/>
    </row>
    <row r="244" spans="1:8" x14ac:dyDescent="0.25">
      <c r="A244" s="17"/>
      <c r="B244" s="10"/>
      <c r="C244" s="10"/>
      <c r="D244" s="10"/>
      <c r="E244" s="18"/>
      <c r="F244" s="10"/>
      <c r="G244" s="18"/>
      <c r="H244" s="17"/>
    </row>
    <row r="245" spans="1:8" x14ac:dyDescent="0.25">
      <c r="A245" s="17"/>
      <c r="B245" s="10"/>
      <c r="C245" s="10"/>
      <c r="D245" s="10"/>
      <c r="E245" s="18"/>
      <c r="F245" s="10"/>
      <c r="G245" s="18"/>
      <c r="H245" s="17"/>
    </row>
    <row r="246" spans="1:8" x14ac:dyDescent="0.25">
      <c r="A246" s="17"/>
      <c r="B246" s="10"/>
      <c r="C246" s="10"/>
      <c r="D246" s="10"/>
      <c r="E246" s="18"/>
      <c r="F246" s="10"/>
      <c r="G246" s="18"/>
      <c r="H246" s="17"/>
    </row>
    <row r="247" spans="1:8" x14ac:dyDescent="0.25">
      <c r="A247" s="17"/>
      <c r="B247" s="10"/>
      <c r="C247" s="10"/>
      <c r="D247" s="10"/>
      <c r="E247" s="18"/>
      <c r="F247" s="10"/>
      <c r="G247" s="18"/>
      <c r="H247" s="17"/>
    </row>
    <row r="248" spans="1:8" x14ac:dyDescent="0.25">
      <c r="A248" s="17"/>
      <c r="B248" s="10"/>
      <c r="C248" s="10"/>
      <c r="D248" s="10"/>
      <c r="E248" s="18"/>
      <c r="F248" s="10"/>
      <c r="G248" s="18"/>
      <c r="H248" s="17"/>
    </row>
    <row r="249" spans="1:8" x14ac:dyDescent="0.25">
      <c r="A249" s="17"/>
      <c r="B249" s="10"/>
      <c r="C249" s="10"/>
      <c r="D249" s="10"/>
      <c r="E249" s="18"/>
      <c r="F249" s="10"/>
      <c r="G249" s="18"/>
      <c r="H249" s="17"/>
    </row>
    <row r="250" spans="1:8" x14ac:dyDescent="0.25">
      <c r="A250" s="17"/>
      <c r="B250" s="10"/>
      <c r="C250" s="10"/>
      <c r="D250" s="10"/>
      <c r="E250" s="18"/>
      <c r="F250" s="10"/>
      <c r="G250" s="18"/>
      <c r="H250" s="17"/>
    </row>
    <row r="251" spans="1:8" x14ac:dyDescent="0.25">
      <c r="A251" s="17"/>
      <c r="B251" s="10"/>
      <c r="C251" s="10"/>
      <c r="D251" s="10"/>
      <c r="E251" s="18"/>
      <c r="F251" s="10"/>
      <c r="G251" s="18"/>
      <c r="H251" s="17"/>
    </row>
    <row r="252" spans="1:8" x14ac:dyDescent="0.25">
      <c r="A252" s="17"/>
      <c r="B252" s="10"/>
      <c r="C252" s="10"/>
      <c r="D252" s="10"/>
      <c r="E252" s="18"/>
      <c r="F252" s="10"/>
      <c r="G252" s="18"/>
      <c r="H252" s="17"/>
    </row>
    <row r="253" spans="1:8" x14ac:dyDescent="0.25">
      <c r="A253" s="17"/>
      <c r="B253" s="10"/>
      <c r="C253" s="10"/>
      <c r="D253" s="10"/>
      <c r="E253" s="18"/>
      <c r="F253" s="10"/>
      <c r="G253" s="18"/>
      <c r="H253" s="17"/>
    </row>
    <row r="254" spans="1:8" x14ac:dyDescent="0.25">
      <c r="A254" s="17"/>
      <c r="B254" s="10"/>
      <c r="C254" s="10"/>
      <c r="D254" s="10"/>
      <c r="E254" s="18"/>
      <c r="F254" s="10"/>
      <c r="G254" s="18"/>
      <c r="H254" s="17"/>
    </row>
    <row r="255" spans="1:8" x14ac:dyDescent="0.25">
      <c r="A255" s="17"/>
      <c r="B255" s="10"/>
      <c r="C255" s="10"/>
      <c r="D255" s="10"/>
      <c r="E255" s="18"/>
      <c r="F255" s="10"/>
      <c r="G255" s="18"/>
      <c r="H255" s="17"/>
    </row>
    <row r="256" spans="1:8" x14ac:dyDescent="0.25">
      <c r="A256" s="17"/>
      <c r="B256" s="10"/>
      <c r="C256" s="10"/>
      <c r="D256" s="10"/>
      <c r="E256" s="18"/>
      <c r="F256" s="10"/>
      <c r="G256" s="18"/>
      <c r="H256" s="17"/>
    </row>
    <row r="257" spans="1:8" x14ac:dyDescent="0.25">
      <c r="A257" s="17"/>
      <c r="B257" s="10"/>
      <c r="C257" s="10"/>
      <c r="D257" s="10"/>
      <c r="E257" s="18"/>
      <c r="F257" s="10"/>
      <c r="G257" s="18"/>
      <c r="H257" s="17"/>
    </row>
    <row r="258" spans="1:8" x14ac:dyDescent="0.25">
      <c r="A258" s="17"/>
      <c r="B258" s="10"/>
      <c r="C258" s="10"/>
      <c r="D258" s="10"/>
      <c r="E258" s="18"/>
      <c r="F258" s="10"/>
      <c r="G258" s="18"/>
      <c r="H258" s="17"/>
    </row>
    <row r="259" spans="1:8" x14ac:dyDescent="0.25">
      <c r="A259" s="17"/>
      <c r="B259" s="10"/>
      <c r="C259" s="10"/>
      <c r="D259" s="10"/>
      <c r="E259" s="18"/>
      <c r="F259" s="10"/>
      <c r="G259" s="18"/>
      <c r="H259" s="17"/>
    </row>
    <row r="260" spans="1:8" x14ac:dyDescent="0.25">
      <c r="A260" s="17"/>
      <c r="B260" s="10"/>
      <c r="C260" s="10"/>
      <c r="D260" s="10"/>
      <c r="E260" s="18"/>
      <c r="F260" s="10"/>
      <c r="G260" s="18"/>
      <c r="H260" s="17"/>
    </row>
    <row r="261" spans="1:8" x14ac:dyDescent="0.25">
      <c r="A261" s="17"/>
      <c r="B261" s="10"/>
      <c r="C261" s="10"/>
      <c r="D261" s="10"/>
      <c r="E261" s="18"/>
      <c r="F261" s="10"/>
      <c r="G261" s="18"/>
      <c r="H261" s="17"/>
    </row>
    <row r="262" spans="1:8" x14ac:dyDescent="0.25">
      <c r="A262" s="17"/>
      <c r="B262" s="10"/>
      <c r="C262" s="10"/>
      <c r="D262" s="10"/>
      <c r="E262" s="18"/>
      <c r="F262" s="10"/>
      <c r="G262" s="18"/>
      <c r="H262" s="17"/>
    </row>
    <row r="263" spans="1:8" x14ac:dyDescent="0.25">
      <c r="A263" s="17"/>
      <c r="B263" s="10"/>
      <c r="C263" s="10"/>
      <c r="D263" s="10"/>
      <c r="E263" s="18"/>
      <c r="F263" s="10"/>
      <c r="G263" s="18"/>
      <c r="H263" s="17"/>
    </row>
    <row r="264" spans="1:8" x14ac:dyDescent="0.25">
      <c r="A264" s="17"/>
      <c r="B264" s="10"/>
      <c r="C264" s="10"/>
      <c r="D264" s="10"/>
      <c r="E264" s="18"/>
      <c r="F264" s="10"/>
      <c r="G264" s="18"/>
      <c r="H264" s="17"/>
    </row>
    <row r="265" spans="1:8" x14ac:dyDescent="0.25">
      <c r="A265" s="17"/>
      <c r="B265" s="10"/>
      <c r="C265" s="10"/>
      <c r="D265" s="10"/>
      <c r="E265" s="18"/>
      <c r="F265" s="10"/>
      <c r="G265" s="18"/>
      <c r="H265" s="17"/>
    </row>
    <row r="266" spans="1:8" x14ac:dyDescent="0.25">
      <c r="A266" s="17"/>
      <c r="B266" s="10"/>
      <c r="C266" s="10"/>
      <c r="D266" s="10"/>
      <c r="E266" s="18"/>
      <c r="F266" s="10"/>
      <c r="G266" s="18"/>
      <c r="H266" s="17"/>
    </row>
    <row r="267" spans="1:8" x14ac:dyDescent="0.25">
      <c r="A267" s="17"/>
      <c r="B267" s="10"/>
      <c r="C267" s="10"/>
      <c r="D267" s="10"/>
      <c r="E267" s="18"/>
      <c r="F267" s="10"/>
      <c r="G267" s="18"/>
      <c r="H267" s="17"/>
    </row>
    <row r="268" spans="1:8" x14ac:dyDescent="0.25">
      <c r="A268" s="17"/>
      <c r="B268" s="10"/>
      <c r="C268" s="10"/>
      <c r="D268" s="10"/>
      <c r="E268" s="18"/>
      <c r="F268" s="10"/>
      <c r="G268" s="18"/>
      <c r="H268" s="17"/>
    </row>
    <row r="269" spans="1:8" x14ac:dyDescent="0.25">
      <c r="A269" s="17"/>
      <c r="B269" s="10"/>
      <c r="C269" s="10"/>
      <c r="D269" s="10"/>
      <c r="E269" s="18"/>
      <c r="F269" s="10"/>
      <c r="G269" s="18"/>
      <c r="H269" s="17"/>
    </row>
    <row r="270" spans="1:8" x14ac:dyDescent="0.25">
      <c r="A270" s="17"/>
      <c r="B270" s="10"/>
      <c r="C270" s="10"/>
      <c r="D270" s="10"/>
      <c r="E270" s="18"/>
      <c r="F270" s="10"/>
      <c r="G270" s="18"/>
      <c r="H270" s="17"/>
    </row>
    <row r="271" spans="1:8" x14ac:dyDescent="0.25">
      <c r="A271" s="17"/>
      <c r="B271" s="10"/>
      <c r="C271" s="10"/>
      <c r="D271" s="10"/>
      <c r="E271" s="18"/>
      <c r="F271" s="10"/>
      <c r="G271" s="18"/>
      <c r="H271" s="17"/>
    </row>
    <row r="272" spans="1:8" x14ac:dyDescent="0.25">
      <c r="A272" s="17"/>
      <c r="B272" s="10"/>
      <c r="C272" s="10"/>
      <c r="D272" s="10"/>
      <c r="E272" s="18"/>
      <c r="F272" s="10"/>
      <c r="G272" s="18"/>
      <c r="H272" s="17"/>
    </row>
    <row r="273" spans="1:8" x14ac:dyDescent="0.25">
      <c r="A273" s="17"/>
      <c r="B273" s="10"/>
      <c r="C273" s="10"/>
      <c r="D273" s="10"/>
      <c r="E273" s="18"/>
      <c r="F273" s="10"/>
      <c r="G273" s="18"/>
      <c r="H273" s="17"/>
    </row>
    <row r="274" spans="1:8" x14ac:dyDescent="0.25">
      <c r="A274" s="17"/>
      <c r="B274" s="10"/>
      <c r="C274" s="10"/>
      <c r="D274" s="10"/>
      <c r="E274" s="18"/>
      <c r="F274" s="10"/>
      <c r="G274" s="18"/>
      <c r="H274" s="17"/>
    </row>
    <row r="275" spans="1:8" x14ac:dyDescent="0.25">
      <c r="A275" s="17"/>
      <c r="B275" s="10"/>
      <c r="C275" s="10"/>
      <c r="D275" s="10"/>
      <c r="E275" s="18"/>
      <c r="F275" s="10"/>
      <c r="G275" s="18"/>
      <c r="H275" s="17"/>
    </row>
    <row r="276" spans="1:8" x14ac:dyDescent="0.25">
      <c r="A276" s="17"/>
      <c r="B276" s="10"/>
      <c r="C276" s="10"/>
      <c r="D276" s="10"/>
      <c r="E276" s="18"/>
      <c r="F276" s="10"/>
      <c r="G276" s="18"/>
      <c r="H276" s="17"/>
    </row>
    <row r="277" spans="1:8" x14ac:dyDescent="0.25">
      <c r="A277" s="17"/>
      <c r="B277" s="10"/>
      <c r="C277" s="10"/>
      <c r="D277" s="10"/>
      <c r="E277" s="18"/>
      <c r="F277" s="10"/>
      <c r="G277" s="18"/>
      <c r="H277" s="17"/>
    </row>
    <row r="278" spans="1:8" x14ac:dyDescent="0.25">
      <c r="A278" s="17"/>
      <c r="B278" s="10"/>
      <c r="C278" s="10"/>
      <c r="D278" s="10"/>
      <c r="E278" s="18"/>
      <c r="F278" s="10"/>
      <c r="G278" s="18"/>
      <c r="H278" s="17"/>
    </row>
    <row r="279" spans="1:8" x14ac:dyDescent="0.25">
      <c r="A279" s="17"/>
      <c r="B279" s="10"/>
      <c r="C279" s="10"/>
      <c r="D279" s="10"/>
      <c r="E279" s="18"/>
      <c r="F279" s="10"/>
      <c r="G279" s="18"/>
      <c r="H279" s="17"/>
    </row>
    <row r="280" spans="1:8" x14ac:dyDescent="0.25">
      <c r="A280" s="17"/>
      <c r="B280" s="10"/>
      <c r="C280" s="10"/>
      <c r="D280" s="10"/>
      <c r="E280" s="18"/>
      <c r="F280" s="10"/>
      <c r="G280" s="18"/>
      <c r="H280" s="17"/>
    </row>
    <row r="281" spans="1:8" x14ac:dyDescent="0.25">
      <c r="A281" s="17"/>
      <c r="B281" s="10"/>
      <c r="C281" s="10"/>
      <c r="D281" s="10"/>
      <c r="E281" s="18"/>
      <c r="F281" s="10"/>
      <c r="G281" s="18"/>
      <c r="H281" s="17"/>
    </row>
    <row r="282" spans="1:8" x14ac:dyDescent="0.25">
      <c r="A282" s="17"/>
      <c r="B282" s="10"/>
      <c r="C282" s="10"/>
      <c r="D282" s="10"/>
      <c r="E282" s="18"/>
      <c r="F282" s="10"/>
      <c r="G282" s="18"/>
      <c r="H282" s="17"/>
    </row>
    <row r="283" spans="1:8" x14ac:dyDescent="0.25">
      <c r="A283" s="17"/>
      <c r="B283" s="10"/>
      <c r="C283" s="10"/>
      <c r="D283" s="10"/>
      <c r="E283" s="18"/>
      <c r="F283" s="10"/>
      <c r="G283" s="18"/>
      <c r="H283" s="17"/>
    </row>
    <row r="284" spans="1:8" x14ac:dyDescent="0.25">
      <c r="A284" s="17"/>
      <c r="B284" s="10"/>
      <c r="C284" s="10"/>
      <c r="D284" s="10"/>
      <c r="E284" s="18"/>
      <c r="F284" s="10"/>
      <c r="G284" s="18"/>
      <c r="H284" s="17"/>
    </row>
    <row r="285" spans="1:8" x14ac:dyDescent="0.25">
      <c r="A285" s="17"/>
      <c r="B285" s="10"/>
      <c r="C285" s="10"/>
      <c r="D285" s="10"/>
      <c r="E285" s="18"/>
      <c r="F285" s="10"/>
      <c r="G285" s="18"/>
      <c r="H285" s="17"/>
    </row>
    <row r="286" spans="1:8" x14ac:dyDescent="0.25">
      <c r="A286" s="17"/>
      <c r="B286" s="10"/>
      <c r="C286" s="10"/>
      <c r="D286" s="10"/>
      <c r="E286" s="18"/>
      <c r="F286" s="10"/>
      <c r="G286" s="18"/>
      <c r="H286" s="17"/>
    </row>
    <row r="287" spans="1:8" x14ac:dyDescent="0.25">
      <c r="A287" s="17"/>
      <c r="B287" s="10"/>
      <c r="C287" s="10"/>
      <c r="D287" s="10"/>
      <c r="E287" s="18"/>
      <c r="F287" s="10"/>
      <c r="G287" s="18"/>
      <c r="H287" s="17"/>
    </row>
    <row r="288" spans="1:8" x14ac:dyDescent="0.25">
      <c r="A288" s="17"/>
      <c r="B288" s="10"/>
      <c r="C288" s="10"/>
      <c r="D288" s="10"/>
      <c r="E288" s="18"/>
      <c r="F288" s="10"/>
      <c r="G288" s="18"/>
      <c r="H288" s="17"/>
    </row>
    <row r="289" spans="1:8" x14ac:dyDescent="0.25">
      <c r="A289" s="17"/>
      <c r="B289" s="10"/>
      <c r="C289" s="10"/>
      <c r="D289" s="10"/>
      <c r="E289" s="18"/>
      <c r="F289" s="10"/>
      <c r="G289" s="18"/>
      <c r="H289" s="17"/>
    </row>
    <row r="290" spans="1:8" x14ac:dyDescent="0.25">
      <c r="A290" s="17"/>
      <c r="B290" s="10"/>
      <c r="C290" s="10"/>
      <c r="D290" s="10"/>
      <c r="E290" s="18"/>
      <c r="F290" s="10"/>
      <c r="G290" s="18"/>
      <c r="H290" s="17"/>
    </row>
    <row r="291" spans="1:8" x14ac:dyDescent="0.25">
      <c r="A291" s="17"/>
      <c r="B291" s="10"/>
      <c r="C291" s="10"/>
      <c r="D291" s="10"/>
      <c r="E291" s="18"/>
      <c r="F291" s="10"/>
      <c r="G291" s="18"/>
      <c r="H291" s="17"/>
    </row>
    <row r="292" spans="1:8" x14ac:dyDescent="0.25">
      <c r="A292" s="17"/>
      <c r="B292" s="10"/>
      <c r="C292" s="10"/>
      <c r="D292" s="10"/>
      <c r="E292" s="18"/>
      <c r="F292" s="10"/>
      <c r="G292" s="18"/>
      <c r="H292" s="17"/>
    </row>
    <row r="293" spans="1:8" x14ac:dyDescent="0.25">
      <c r="A293" s="17"/>
      <c r="B293" s="10"/>
      <c r="C293" s="10"/>
      <c r="D293" s="10"/>
      <c r="E293" s="18"/>
      <c r="F293" s="10"/>
      <c r="G293" s="18"/>
      <c r="H293" s="17"/>
    </row>
    <row r="294" spans="1:8" x14ac:dyDescent="0.25">
      <c r="A294" s="17"/>
      <c r="B294" s="10"/>
      <c r="C294" s="10"/>
      <c r="D294" s="10"/>
      <c r="E294" s="18"/>
      <c r="F294" s="10"/>
      <c r="G294" s="18"/>
      <c r="H294" s="17"/>
    </row>
    <row r="295" spans="1:8" x14ac:dyDescent="0.25">
      <c r="A295" s="17"/>
      <c r="B295" s="10"/>
      <c r="C295" s="10"/>
      <c r="D295" s="10"/>
      <c r="E295" s="18"/>
      <c r="F295" s="10"/>
      <c r="G295" s="18"/>
      <c r="H295" s="17"/>
    </row>
    <row r="296" spans="1:8" x14ac:dyDescent="0.25">
      <c r="A296" s="17"/>
      <c r="B296" s="10"/>
      <c r="C296" s="10"/>
      <c r="D296" s="10"/>
      <c r="E296" s="18"/>
      <c r="F296" s="10"/>
      <c r="G296" s="18"/>
      <c r="H296" s="17"/>
    </row>
    <row r="297" spans="1:8" x14ac:dyDescent="0.25">
      <c r="A297" s="17"/>
      <c r="B297" s="10"/>
      <c r="C297" s="10"/>
      <c r="D297" s="10"/>
      <c r="E297" s="18"/>
      <c r="F297" s="10"/>
      <c r="G297" s="18"/>
      <c r="H297" s="17"/>
    </row>
    <row r="298" spans="1:8" x14ac:dyDescent="0.25">
      <c r="A298" s="17"/>
      <c r="B298" s="10"/>
      <c r="C298" s="10"/>
      <c r="D298" s="10"/>
      <c r="E298" s="18"/>
      <c r="F298" s="10"/>
      <c r="G298" s="18"/>
      <c r="H298" s="17"/>
    </row>
    <row r="299" spans="1:8" x14ac:dyDescent="0.25">
      <c r="A299" s="17"/>
      <c r="B299" s="10"/>
      <c r="C299" s="10"/>
      <c r="D299" s="10"/>
      <c r="E299" s="18"/>
      <c r="F299" s="10"/>
      <c r="G299" s="18"/>
      <c r="H299" s="17"/>
    </row>
    <row r="300" spans="1:8" x14ac:dyDescent="0.25">
      <c r="A300" s="17"/>
      <c r="B300" s="10"/>
      <c r="C300" s="10"/>
      <c r="D300" s="10"/>
      <c r="E300" s="18"/>
      <c r="F300" s="10"/>
      <c r="G300" s="18"/>
      <c r="H300" s="17"/>
    </row>
    <row r="301" spans="1:8" x14ac:dyDescent="0.25">
      <c r="A301" s="17"/>
      <c r="B301" s="10"/>
      <c r="C301" s="10"/>
      <c r="D301" s="10"/>
      <c r="E301" s="18"/>
      <c r="F301" s="10"/>
      <c r="G301" s="18"/>
      <c r="H301" s="17"/>
    </row>
    <row r="302" spans="1:8" x14ac:dyDescent="0.25">
      <c r="A302" s="17"/>
      <c r="B302" s="10"/>
      <c r="C302" s="10"/>
      <c r="D302" s="10"/>
      <c r="E302" s="18"/>
      <c r="F302" s="10"/>
      <c r="G302" s="18"/>
      <c r="H302" s="17"/>
    </row>
    <row r="303" spans="1:8" x14ac:dyDescent="0.25">
      <c r="A303" s="17"/>
      <c r="B303" s="10"/>
      <c r="C303" s="10"/>
      <c r="D303" s="10"/>
      <c r="E303" s="18"/>
      <c r="F303" s="10"/>
      <c r="G303" s="18"/>
      <c r="H303" s="17"/>
    </row>
    <row r="304" spans="1:8" x14ac:dyDescent="0.25">
      <c r="A304" s="17"/>
      <c r="B304" s="10"/>
      <c r="C304" s="10"/>
      <c r="D304" s="10"/>
      <c r="E304" s="18"/>
      <c r="F304" s="10"/>
      <c r="G304" s="18"/>
      <c r="H304" s="17"/>
    </row>
    <row r="305" spans="1:8" x14ac:dyDescent="0.25">
      <c r="A305" s="17"/>
      <c r="B305" s="10"/>
      <c r="C305" s="10"/>
      <c r="D305" s="10"/>
      <c r="E305" s="18"/>
      <c r="F305" s="10"/>
      <c r="G305" s="18"/>
      <c r="H305" s="17"/>
    </row>
    <row r="306" spans="1:8" x14ac:dyDescent="0.25">
      <c r="A306" s="17"/>
      <c r="B306" s="10"/>
      <c r="C306" s="10"/>
      <c r="D306" s="10"/>
      <c r="E306" s="18"/>
      <c r="F306" s="10"/>
      <c r="G306" s="18"/>
      <c r="H306" s="17"/>
    </row>
    <row r="307" spans="1:8" x14ac:dyDescent="0.25">
      <c r="A307" s="17"/>
      <c r="B307" s="10"/>
      <c r="C307" s="10"/>
      <c r="D307" s="10"/>
      <c r="E307" s="18"/>
      <c r="F307" s="10"/>
      <c r="G307" s="18"/>
      <c r="H307" s="17"/>
    </row>
    <row r="308" spans="1:8" x14ac:dyDescent="0.25">
      <c r="A308" s="17"/>
      <c r="B308" s="10"/>
      <c r="C308" s="10"/>
      <c r="D308" s="10"/>
      <c r="E308" s="18"/>
      <c r="F308" s="10"/>
      <c r="G308" s="18"/>
      <c r="H308" s="17"/>
    </row>
    <row r="309" spans="1:8" x14ac:dyDescent="0.25">
      <c r="A309" s="17"/>
      <c r="B309" s="10"/>
      <c r="C309" s="10"/>
      <c r="D309" s="10"/>
      <c r="E309" s="18"/>
      <c r="F309" s="10"/>
      <c r="G309" s="18"/>
      <c r="H309" s="17"/>
    </row>
    <row r="310" spans="1:8" x14ac:dyDescent="0.25">
      <c r="A310" s="17"/>
      <c r="B310" s="10"/>
      <c r="C310" s="10"/>
      <c r="D310" s="10"/>
      <c r="E310" s="18"/>
      <c r="F310" s="10"/>
      <c r="G310" s="18"/>
      <c r="H310" s="17"/>
    </row>
    <row r="311" spans="1:8" x14ac:dyDescent="0.25">
      <c r="A311" s="17"/>
      <c r="B311" s="10"/>
      <c r="C311" s="10"/>
      <c r="D311" s="10"/>
      <c r="E311" s="18"/>
      <c r="F311" s="10"/>
      <c r="G311" s="18"/>
      <c r="H311" s="17"/>
    </row>
    <row r="312" spans="1:8" x14ac:dyDescent="0.25">
      <c r="A312" s="17"/>
      <c r="B312" s="10"/>
      <c r="C312" s="10"/>
      <c r="D312" s="10"/>
      <c r="E312" s="18"/>
      <c r="F312" s="10"/>
      <c r="G312" s="18"/>
      <c r="H312" s="17"/>
    </row>
    <row r="313" spans="1:8" x14ac:dyDescent="0.25">
      <c r="A313" s="17"/>
      <c r="B313" s="10"/>
      <c r="C313" s="10"/>
      <c r="D313" s="10"/>
      <c r="E313" s="18"/>
      <c r="F313" s="10"/>
      <c r="G313" s="18"/>
      <c r="H313" s="17"/>
    </row>
    <row r="314" spans="1:8" x14ac:dyDescent="0.25">
      <c r="A314" s="17"/>
      <c r="B314" s="10"/>
      <c r="C314" s="10"/>
      <c r="D314" s="10"/>
      <c r="E314" s="18"/>
      <c r="F314" s="10"/>
      <c r="G314" s="18"/>
      <c r="H314" s="17"/>
    </row>
    <row r="315" spans="1:8" x14ac:dyDescent="0.25">
      <c r="A315" s="17"/>
      <c r="B315" s="10"/>
      <c r="C315" s="10"/>
      <c r="D315" s="10"/>
      <c r="E315" s="18"/>
      <c r="F315" s="10"/>
      <c r="G315" s="18"/>
      <c r="H315" s="17"/>
    </row>
    <row r="316" spans="1:8" x14ac:dyDescent="0.25">
      <c r="A316" s="17"/>
      <c r="B316" s="10"/>
      <c r="C316" s="10"/>
      <c r="D316" s="10"/>
      <c r="E316" s="18"/>
      <c r="F316" s="10"/>
      <c r="G316" s="18"/>
      <c r="H316" s="17"/>
    </row>
    <row r="317" spans="1:8" x14ac:dyDescent="0.25">
      <c r="A317" s="17"/>
      <c r="B317" s="10"/>
      <c r="C317" s="10"/>
      <c r="D317" s="10"/>
      <c r="E317" s="18"/>
      <c r="F317" s="10"/>
      <c r="G317" s="18"/>
      <c r="H317" s="17"/>
    </row>
    <row r="318" spans="1:8" x14ac:dyDescent="0.25">
      <c r="A318" s="17"/>
      <c r="B318" s="10"/>
      <c r="C318" s="10"/>
      <c r="D318" s="10"/>
      <c r="E318" s="18"/>
      <c r="F318" s="10"/>
      <c r="G318" s="18"/>
      <c r="H318" s="17"/>
    </row>
    <row r="319" spans="1:8" x14ac:dyDescent="0.25">
      <c r="A319" s="17"/>
      <c r="B319" s="10"/>
      <c r="C319" s="10"/>
      <c r="D319" s="10"/>
      <c r="E319" s="18"/>
      <c r="F319" s="10"/>
      <c r="G319" s="18"/>
      <c r="H319" s="17"/>
    </row>
    <row r="320" spans="1:8" x14ac:dyDescent="0.25">
      <c r="A320" s="17"/>
      <c r="B320" s="10"/>
      <c r="C320" s="10"/>
      <c r="D320" s="10"/>
      <c r="E320" s="18"/>
      <c r="F320" s="10"/>
      <c r="G320" s="18"/>
      <c r="H320" s="17"/>
    </row>
    <row r="321" spans="1:8" x14ac:dyDescent="0.25">
      <c r="A321" s="17"/>
      <c r="B321" s="10"/>
      <c r="C321" s="10"/>
      <c r="D321" s="10"/>
      <c r="E321" s="18"/>
      <c r="F321" s="10"/>
      <c r="G321" s="18"/>
      <c r="H321" s="17"/>
    </row>
    <row r="322" spans="1:8" x14ac:dyDescent="0.25">
      <c r="A322" s="17"/>
      <c r="B322" s="10"/>
      <c r="C322" s="10"/>
      <c r="D322" s="10"/>
      <c r="E322" s="18"/>
      <c r="F322" s="10"/>
      <c r="G322" s="18"/>
      <c r="H322" s="17"/>
    </row>
    <row r="323" spans="1:8" x14ac:dyDescent="0.25">
      <c r="A323" s="17"/>
      <c r="B323" s="10"/>
      <c r="C323" s="10"/>
      <c r="D323" s="10"/>
      <c r="E323" s="18"/>
      <c r="F323" s="10"/>
      <c r="G323" s="18"/>
      <c r="H323" s="17"/>
    </row>
    <row r="324" spans="1:8" x14ac:dyDescent="0.25">
      <c r="A324" s="17"/>
      <c r="B324" s="10"/>
      <c r="C324" s="10"/>
      <c r="D324" s="10"/>
      <c r="E324" s="18"/>
      <c r="F324" s="10"/>
      <c r="G324" s="18"/>
      <c r="H324" s="17"/>
    </row>
    <row r="325" spans="1:8" x14ac:dyDescent="0.25">
      <c r="A325" s="17"/>
      <c r="B325" s="10"/>
      <c r="C325" s="10"/>
      <c r="D325" s="10"/>
      <c r="E325" s="18"/>
      <c r="F325" s="10"/>
      <c r="G325" s="18"/>
      <c r="H325" s="17"/>
    </row>
    <row r="326" spans="1:8" x14ac:dyDescent="0.25">
      <c r="A326" s="17"/>
      <c r="B326" s="10"/>
      <c r="C326" s="10"/>
      <c r="D326" s="10"/>
      <c r="E326" s="18"/>
      <c r="F326" s="10"/>
      <c r="G326" s="18"/>
      <c r="H326" s="17"/>
    </row>
    <row r="327" spans="1:8" x14ac:dyDescent="0.25">
      <c r="A327" s="17"/>
      <c r="B327" s="10"/>
      <c r="C327" s="10"/>
      <c r="D327" s="10"/>
      <c r="E327" s="18"/>
      <c r="F327" s="10"/>
      <c r="G327" s="18"/>
      <c r="H327" s="17"/>
    </row>
    <row r="328" spans="1:8" x14ac:dyDescent="0.25">
      <c r="A328" s="17"/>
      <c r="B328" s="10"/>
      <c r="C328" s="10"/>
      <c r="D328" s="10"/>
      <c r="E328" s="18"/>
      <c r="F328" s="10"/>
      <c r="G328" s="18"/>
      <c r="H328" s="17"/>
    </row>
    <row r="329" spans="1:8" x14ac:dyDescent="0.25">
      <c r="A329" s="17"/>
      <c r="B329" s="10"/>
      <c r="C329" s="10"/>
      <c r="D329" s="10"/>
      <c r="E329" s="18"/>
      <c r="F329" s="10"/>
      <c r="G329" s="18"/>
      <c r="H329" s="17"/>
    </row>
    <row r="330" spans="1:8" x14ac:dyDescent="0.25">
      <c r="A330" s="17"/>
      <c r="B330" s="10"/>
      <c r="C330" s="10"/>
      <c r="D330" s="10"/>
      <c r="E330" s="18"/>
      <c r="F330" s="10"/>
      <c r="G330" s="18"/>
      <c r="H330" s="17"/>
    </row>
    <row r="331" spans="1:8" x14ac:dyDescent="0.25">
      <c r="A331" s="17"/>
      <c r="B331" s="10"/>
      <c r="C331" s="10"/>
      <c r="D331" s="10"/>
      <c r="E331" s="18"/>
      <c r="F331" s="10"/>
      <c r="G331" s="18"/>
      <c r="H331" s="17"/>
    </row>
    <row r="332" spans="1:8" x14ac:dyDescent="0.25">
      <c r="A332" s="17"/>
      <c r="B332" s="10"/>
      <c r="C332" s="10"/>
      <c r="D332" s="10"/>
      <c r="E332" s="18"/>
      <c r="F332" s="10"/>
      <c r="G332" s="18"/>
      <c r="H332" s="17"/>
    </row>
    <row r="333" spans="1:8" x14ac:dyDescent="0.25">
      <c r="A333" s="17"/>
      <c r="B333" s="10"/>
      <c r="C333" s="10"/>
      <c r="D333" s="10"/>
      <c r="E333" s="18"/>
      <c r="F333" s="10"/>
      <c r="G333" s="18"/>
      <c r="H333" s="17"/>
    </row>
    <row r="334" spans="1:8" x14ac:dyDescent="0.25">
      <c r="A334" s="17"/>
      <c r="B334" s="10"/>
      <c r="C334" s="10"/>
      <c r="D334" s="10"/>
      <c r="E334" s="18"/>
      <c r="F334" s="10"/>
      <c r="G334" s="18"/>
      <c r="H334" s="17"/>
    </row>
    <row r="335" spans="1:8" x14ac:dyDescent="0.25">
      <c r="A335" s="17"/>
      <c r="B335" s="10"/>
      <c r="C335" s="10"/>
      <c r="D335" s="10"/>
      <c r="E335" s="18"/>
      <c r="F335" s="10"/>
      <c r="G335" s="18"/>
      <c r="H335" s="17"/>
    </row>
    <row r="336" spans="1:8" x14ac:dyDescent="0.25">
      <c r="A336" s="17"/>
      <c r="B336" s="10"/>
      <c r="C336" s="10"/>
      <c r="D336" s="10"/>
      <c r="E336" s="18"/>
      <c r="F336" s="10"/>
      <c r="G336" s="18"/>
      <c r="H336" s="17"/>
    </row>
    <row r="337" spans="1:8" x14ac:dyDescent="0.25">
      <c r="A337" s="17"/>
      <c r="B337" s="10"/>
      <c r="C337" s="10"/>
      <c r="D337" s="10"/>
      <c r="E337" s="18"/>
      <c r="F337" s="10"/>
      <c r="G337" s="18"/>
      <c r="H337" s="17"/>
    </row>
    <row r="338" spans="1:8" x14ac:dyDescent="0.25">
      <c r="A338" s="17"/>
      <c r="B338" s="10"/>
      <c r="C338" s="10"/>
      <c r="D338" s="10"/>
      <c r="E338" s="18"/>
      <c r="F338" s="10"/>
      <c r="G338" s="18"/>
      <c r="H338" s="17"/>
    </row>
    <row r="339" spans="1:8" x14ac:dyDescent="0.25">
      <c r="A339" s="17"/>
      <c r="B339" s="10"/>
      <c r="C339" s="10"/>
      <c r="D339" s="10"/>
      <c r="E339" s="18"/>
      <c r="F339" s="10"/>
      <c r="G339" s="18"/>
      <c r="H339" s="17"/>
    </row>
    <row r="340" spans="1:8" x14ac:dyDescent="0.25">
      <c r="A340" s="17"/>
      <c r="B340" s="10"/>
      <c r="C340" s="10"/>
      <c r="D340" s="10"/>
      <c r="E340" s="18"/>
      <c r="F340" s="10"/>
      <c r="G340" s="18"/>
      <c r="H340" s="17"/>
    </row>
    <row r="341" spans="1:8" x14ac:dyDescent="0.25">
      <c r="A341" s="17"/>
      <c r="B341" s="10"/>
      <c r="C341" s="10"/>
      <c r="D341" s="10"/>
      <c r="E341" s="18"/>
      <c r="F341" s="10"/>
      <c r="G341" s="18"/>
      <c r="H341" s="17"/>
    </row>
    <row r="342" spans="1:8" x14ac:dyDescent="0.25">
      <c r="A342" s="17"/>
      <c r="B342" s="10"/>
      <c r="C342" s="10"/>
      <c r="D342" s="10"/>
      <c r="E342" s="18"/>
      <c r="F342" s="10"/>
      <c r="G342" s="18"/>
      <c r="H342" s="17"/>
    </row>
    <row r="343" spans="1:8" x14ac:dyDescent="0.25">
      <c r="A343" s="17"/>
      <c r="B343" s="10"/>
      <c r="C343" s="10"/>
      <c r="D343" s="10"/>
      <c r="E343" s="18"/>
      <c r="F343" s="10"/>
      <c r="G343" s="18"/>
      <c r="H343" s="17"/>
    </row>
    <row r="344" spans="1:8" x14ac:dyDescent="0.25">
      <c r="A344" s="17"/>
      <c r="B344" s="10"/>
      <c r="C344" s="10"/>
      <c r="D344" s="10"/>
      <c r="E344" s="18"/>
      <c r="F344" s="10"/>
      <c r="G344" s="18"/>
      <c r="H344" s="17"/>
    </row>
    <row r="345" spans="1:8" x14ac:dyDescent="0.25">
      <c r="A345" s="17"/>
      <c r="B345" s="10"/>
      <c r="C345" s="10"/>
      <c r="D345" s="10"/>
      <c r="E345" s="18"/>
      <c r="F345" s="10"/>
      <c r="G345" s="18"/>
      <c r="H345" s="17"/>
    </row>
    <row r="346" spans="1:8" x14ac:dyDescent="0.25">
      <c r="A346" s="17"/>
      <c r="B346" s="10"/>
      <c r="C346" s="10"/>
      <c r="D346" s="10"/>
      <c r="E346" s="18"/>
      <c r="F346" s="10"/>
      <c r="G346" s="18"/>
      <c r="H346" s="17"/>
    </row>
    <row r="347" spans="1:8" x14ac:dyDescent="0.25">
      <c r="A347" s="17"/>
      <c r="B347" s="10"/>
      <c r="C347" s="10"/>
      <c r="D347" s="10"/>
      <c r="E347" s="18"/>
      <c r="F347" s="10"/>
      <c r="G347" s="18"/>
      <c r="H347" s="17"/>
    </row>
    <row r="348" spans="1:8" x14ac:dyDescent="0.25">
      <c r="A348" s="17"/>
      <c r="B348" s="10"/>
      <c r="C348" s="10"/>
      <c r="D348" s="10"/>
      <c r="E348" s="18"/>
      <c r="F348" s="10"/>
      <c r="G348" s="18"/>
      <c r="H348" s="17"/>
    </row>
    <row r="349" spans="1:8" x14ac:dyDescent="0.25">
      <c r="A349" s="17"/>
      <c r="B349" s="10"/>
      <c r="C349" s="10"/>
      <c r="D349" s="10"/>
      <c r="E349" s="18"/>
      <c r="F349" s="10"/>
      <c r="G349" s="18"/>
      <c r="H349" s="17"/>
    </row>
    <row r="350" spans="1:8" x14ac:dyDescent="0.25">
      <c r="A350" s="17"/>
      <c r="B350" s="10"/>
      <c r="C350" s="10"/>
      <c r="D350" s="10"/>
      <c r="E350" s="18"/>
      <c r="F350" s="10"/>
      <c r="G350" s="18"/>
      <c r="H350" s="17"/>
    </row>
    <row r="351" spans="1:8" x14ac:dyDescent="0.25">
      <c r="A351" s="17"/>
      <c r="B351" s="10"/>
      <c r="C351" s="10"/>
      <c r="D351" s="10"/>
      <c r="E351" s="18"/>
      <c r="F351" s="10"/>
      <c r="G351" s="18"/>
      <c r="H351" s="17"/>
    </row>
    <row r="352" spans="1:8" x14ac:dyDescent="0.25">
      <c r="A352" s="17"/>
      <c r="B352" s="10"/>
      <c r="C352" s="10"/>
      <c r="D352" s="10"/>
      <c r="E352" s="18"/>
      <c r="F352" s="10"/>
      <c r="G352" s="18"/>
      <c r="H352" s="17"/>
    </row>
    <row r="353" spans="1:8" x14ac:dyDescent="0.25">
      <c r="A353" s="17"/>
      <c r="B353" s="10"/>
      <c r="C353" s="10"/>
      <c r="D353" s="10"/>
      <c r="E353" s="18"/>
      <c r="F353" s="10"/>
      <c r="G353" s="18"/>
      <c r="H353" s="17"/>
    </row>
    <row r="354" spans="1:8" x14ac:dyDescent="0.25">
      <c r="A354" s="17"/>
      <c r="B354" s="10"/>
      <c r="C354" s="10"/>
      <c r="D354" s="10"/>
      <c r="E354" s="18"/>
      <c r="F354" s="10"/>
      <c r="G354" s="18"/>
      <c r="H354" s="17"/>
    </row>
    <row r="355" spans="1:8" x14ac:dyDescent="0.25">
      <c r="A355" s="17"/>
      <c r="B355" s="10"/>
      <c r="C355" s="10"/>
      <c r="D355" s="10"/>
      <c r="E355" s="18"/>
      <c r="F355" s="10"/>
      <c r="G355" s="18"/>
      <c r="H355" s="17"/>
    </row>
    <row r="356" spans="1:8" x14ac:dyDescent="0.25">
      <c r="A356" s="17"/>
      <c r="B356" s="10"/>
      <c r="C356" s="10"/>
      <c r="D356" s="10"/>
      <c r="E356" s="18"/>
      <c r="F356" s="10"/>
      <c r="G356" s="18"/>
      <c r="H356" s="17"/>
    </row>
    <row r="357" spans="1:8" x14ac:dyDescent="0.25">
      <c r="A357" s="17"/>
      <c r="B357" s="10"/>
      <c r="C357" s="10"/>
      <c r="D357" s="10"/>
      <c r="E357" s="18"/>
      <c r="F357" s="10"/>
      <c r="G357" s="18"/>
      <c r="H357" s="17"/>
    </row>
    <row r="358" spans="1:8" x14ac:dyDescent="0.25">
      <c r="A358" s="17"/>
      <c r="B358" s="10"/>
      <c r="C358" s="10"/>
      <c r="D358" s="10"/>
      <c r="E358" s="18"/>
      <c r="F358" s="10"/>
      <c r="G358" s="18"/>
      <c r="H358" s="17"/>
    </row>
    <row r="359" spans="1:8" x14ac:dyDescent="0.25">
      <c r="A359" s="17"/>
      <c r="B359" s="10"/>
      <c r="C359" s="10"/>
      <c r="D359" s="10"/>
      <c r="E359" s="18"/>
      <c r="F359" s="10"/>
      <c r="G359" s="18"/>
      <c r="H359" s="17"/>
    </row>
    <row r="360" spans="1:8" x14ac:dyDescent="0.25">
      <c r="A360" s="17"/>
      <c r="B360" s="10"/>
      <c r="C360" s="10"/>
      <c r="D360" s="10"/>
      <c r="E360" s="18"/>
      <c r="F360" s="10"/>
      <c r="G360" s="18"/>
      <c r="H360" s="17"/>
    </row>
    <row r="361" spans="1:8" x14ac:dyDescent="0.25">
      <c r="A361" s="17"/>
      <c r="B361" s="10"/>
      <c r="C361" s="10"/>
      <c r="D361" s="10"/>
      <c r="E361" s="18"/>
      <c r="F361" s="10"/>
      <c r="G361" s="18"/>
      <c r="H361" s="17"/>
    </row>
    <row r="362" spans="1:8" x14ac:dyDescent="0.25">
      <c r="A362" s="17"/>
      <c r="B362" s="10"/>
      <c r="C362" s="10"/>
      <c r="D362" s="10"/>
      <c r="E362" s="18"/>
      <c r="F362" s="10"/>
      <c r="G362" s="18"/>
      <c r="H362" s="17"/>
    </row>
    <row r="363" spans="1:8" x14ac:dyDescent="0.25">
      <c r="A363" s="17"/>
      <c r="B363" s="10"/>
      <c r="C363" s="10"/>
      <c r="D363" s="10"/>
      <c r="E363" s="18"/>
      <c r="F363" s="10"/>
      <c r="G363" s="18"/>
      <c r="H363" s="17"/>
    </row>
    <row r="364" spans="1:8" x14ac:dyDescent="0.25">
      <c r="A364" s="17"/>
      <c r="B364" s="10"/>
      <c r="C364" s="10"/>
      <c r="D364" s="10"/>
      <c r="E364" s="18"/>
      <c r="F364" s="10"/>
      <c r="G364" s="18"/>
      <c r="H364" s="17"/>
    </row>
    <row r="365" spans="1:8" x14ac:dyDescent="0.25">
      <c r="A365" s="17"/>
      <c r="B365" s="10"/>
      <c r="C365" s="10"/>
      <c r="D365" s="10"/>
      <c r="E365" s="18"/>
      <c r="F365" s="10"/>
      <c r="G365" s="18"/>
      <c r="H365" s="17"/>
    </row>
    <row r="366" spans="1:8" x14ac:dyDescent="0.25">
      <c r="A366" s="17"/>
      <c r="B366" s="10"/>
      <c r="C366" s="10"/>
      <c r="D366" s="10"/>
      <c r="E366" s="18"/>
      <c r="F366" s="10"/>
      <c r="G366" s="18"/>
      <c r="H366" s="17"/>
    </row>
    <row r="367" spans="1:8" x14ac:dyDescent="0.25">
      <c r="A367" s="17"/>
      <c r="B367" s="10"/>
      <c r="C367" s="10"/>
      <c r="D367" s="10"/>
      <c r="E367" s="18"/>
      <c r="F367" s="10"/>
      <c r="G367" s="18"/>
      <c r="H367" s="17"/>
    </row>
    <row r="368" spans="1:8" x14ac:dyDescent="0.25">
      <c r="A368" s="17"/>
      <c r="B368" s="10"/>
      <c r="C368" s="10"/>
      <c r="D368" s="10"/>
      <c r="E368" s="18"/>
      <c r="F368" s="10"/>
      <c r="G368" s="18"/>
      <c r="H368" s="17"/>
    </row>
    <row r="369" spans="1:8" x14ac:dyDescent="0.25">
      <c r="A369" s="17"/>
      <c r="B369" s="10"/>
      <c r="C369" s="10"/>
      <c r="D369" s="10"/>
      <c r="E369" s="18"/>
      <c r="F369" s="10"/>
      <c r="G369" s="18"/>
      <c r="H369" s="17"/>
    </row>
    <row r="370" spans="1:8" x14ac:dyDescent="0.25">
      <c r="A370" s="17"/>
      <c r="B370" s="10"/>
      <c r="C370" s="10"/>
      <c r="D370" s="10"/>
      <c r="E370" s="18"/>
      <c r="F370" s="10"/>
      <c r="G370" s="18"/>
      <c r="H370" s="17"/>
    </row>
    <row r="371" spans="1:8" x14ac:dyDescent="0.25">
      <c r="A371" s="17"/>
      <c r="B371" s="10"/>
      <c r="C371" s="10"/>
      <c r="D371" s="10"/>
      <c r="E371" s="18"/>
      <c r="F371" s="10"/>
      <c r="G371" s="18"/>
      <c r="H371" s="17"/>
    </row>
    <row r="372" spans="1:8" x14ac:dyDescent="0.25">
      <c r="A372" s="17"/>
      <c r="B372" s="10"/>
      <c r="C372" s="10"/>
      <c r="D372" s="10"/>
      <c r="E372" s="18"/>
      <c r="F372" s="10"/>
      <c r="G372" s="18"/>
      <c r="H372" s="17"/>
    </row>
    <row r="373" spans="1:8" x14ac:dyDescent="0.25">
      <c r="A373" s="17"/>
      <c r="B373" s="10"/>
      <c r="C373" s="10"/>
      <c r="D373" s="10"/>
      <c r="E373" s="18"/>
      <c r="F373" s="10"/>
      <c r="G373" s="18"/>
      <c r="H373" s="17"/>
    </row>
    <row r="374" spans="1:8" x14ac:dyDescent="0.25">
      <c r="A374" s="17"/>
      <c r="B374" s="10"/>
      <c r="C374" s="10"/>
      <c r="D374" s="10"/>
      <c r="E374" s="18"/>
      <c r="F374" s="10"/>
      <c r="G374" s="18"/>
      <c r="H374" s="17"/>
    </row>
    <row r="375" spans="1:8" x14ac:dyDescent="0.25">
      <c r="A375" s="17"/>
      <c r="B375" s="10"/>
      <c r="C375" s="10"/>
      <c r="D375" s="10"/>
      <c r="E375" s="18"/>
      <c r="F375" s="10"/>
      <c r="G375" s="18"/>
      <c r="H375" s="17"/>
    </row>
    <row r="376" spans="1:8" x14ac:dyDescent="0.25">
      <c r="A376" s="17"/>
      <c r="B376" s="10"/>
      <c r="C376" s="10"/>
      <c r="D376" s="10"/>
      <c r="E376" s="18"/>
      <c r="F376" s="10"/>
      <c r="G376" s="18"/>
      <c r="H376" s="17"/>
    </row>
    <row r="377" spans="1:8" x14ac:dyDescent="0.25">
      <c r="A377" s="17"/>
      <c r="B377" s="10"/>
      <c r="C377" s="10"/>
      <c r="D377" s="10"/>
      <c r="E377" s="18"/>
      <c r="F377" s="10"/>
      <c r="G377" s="18"/>
      <c r="H377" s="17"/>
    </row>
    <row r="378" spans="1:8" x14ac:dyDescent="0.25">
      <c r="A378" s="17"/>
      <c r="B378" s="10"/>
      <c r="C378" s="10"/>
      <c r="D378" s="10"/>
      <c r="E378" s="18"/>
      <c r="F378" s="10"/>
      <c r="G378" s="18"/>
      <c r="H378" s="17"/>
    </row>
    <row r="379" spans="1:8" x14ac:dyDescent="0.25">
      <c r="A379" s="17"/>
      <c r="B379" s="10"/>
      <c r="C379" s="10"/>
      <c r="D379" s="10"/>
      <c r="E379" s="18"/>
      <c r="F379" s="10"/>
      <c r="G379" s="18"/>
      <c r="H379" s="17"/>
    </row>
    <row r="380" spans="1:8" x14ac:dyDescent="0.25">
      <c r="A380" s="17"/>
      <c r="B380" s="10"/>
      <c r="C380" s="10"/>
      <c r="D380" s="10"/>
      <c r="E380" s="18"/>
      <c r="F380" s="10"/>
      <c r="G380" s="18"/>
      <c r="H380" s="17"/>
    </row>
    <row r="381" spans="1:8" x14ac:dyDescent="0.25">
      <c r="A381" s="17"/>
      <c r="B381" s="10"/>
      <c r="C381" s="10"/>
      <c r="D381" s="10"/>
      <c r="E381" s="18"/>
      <c r="F381" s="10"/>
      <c r="G381" s="18"/>
      <c r="H381" s="17"/>
    </row>
    <row r="382" spans="1:8" x14ac:dyDescent="0.25">
      <c r="A382" s="17"/>
      <c r="B382" s="10"/>
      <c r="C382" s="10"/>
      <c r="D382" s="10"/>
      <c r="E382" s="18"/>
      <c r="F382" s="10"/>
      <c r="G382" s="18"/>
      <c r="H382" s="17"/>
    </row>
    <row r="383" spans="1:8" x14ac:dyDescent="0.25">
      <c r="A383" s="17"/>
      <c r="B383" s="10"/>
      <c r="C383" s="10"/>
      <c r="D383" s="10"/>
      <c r="E383" s="18"/>
      <c r="F383" s="10"/>
      <c r="G383" s="18"/>
      <c r="H383" s="17"/>
    </row>
    <row r="384" spans="1:8" x14ac:dyDescent="0.25">
      <c r="A384" s="17"/>
      <c r="B384" s="10"/>
      <c r="C384" s="10"/>
      <c r="D384" s="10"/>
      <c r="E384" s="18"/>
      <c r="F384" s="10"/>
      <c r="G384" s="18"/>
      <c r="H384" s="17"/>
    </row>
    <row r="385" spans="1:8" x14ac:dyDescent="0.25">
      <c r="A385" s="17"/>
      <c r="B385" s="10"/>
      <c r="C385" s="10"/>
      <c r="D385" s="10"/>
      <c r="E385" s="18"/>
      <c r="F385" s="10"/>
      <c r="G385" s="18"/>
      <c r="H385" s="17"/>
    </row>
    <row r="386" spans="1:8" x14ac:dyDescent="0.25">
      <c r="A386" s="17"/>
      <c r="B386" s="10"/>
      <c r="C386" s="10"/>
      <c r="D386" s="10"/>
      <c r="E386" s="18"/>
      <c r="F386" s="10"/>
      <c r="G386" s="18"/>
      <c r="H386" s="17"/>
    </row>
    <row r="387" spans="1:8" x14ac:dyDescent="0.25">
      <c r="A387" s="17"/>
      <c r="B387" s="10"/>
      <c r="C387" s="10"/>
      <c r="D387" s="10"/>
      <c r="E387" s="18"/>
      <c r="F387" s="10"/>
      <c r="G387" s="18"/>
      <c r="H387" s="17"/>
    </row>
    <row r="388" spans="1:8" x14ac:dyDescent="0.25">
      <c r="A388" s="17"/>
      <c r="B388" s="10"/>
      <c r="C388" s="10"/>
      <c r="D388" s="10"/>
      <c r="E388" s="18"/>
      <c r="F388" s="10"/>
      <c r="G388" s="18"/>
      <c r="H388" s="17"/>
    </row>
    <row r="389" spans="1:8" x14ac:dyDescent="0.25">
      <c r="A389" s="17"/>
      <c r="B389" s="10"/>
      <c r="C389" s="10"/>
      <c r="D389" s="10"/>
      <c r="E389" s="18"/>
      <c r="F389" s="10"/>
      <c r="G389" s="18"/>
      <c r="H389" s="17"/>
    </row>
    <row r="390" spans="1:8" x14ac:dyDescent="0.25">
      <c r="A390" s="17"/>
      <c r="B390" s="10"/>
      <c r="C390" s="10"/>
      <c r="D390" s="10"/>
      <c r="E390" s="18"/>
      <c r="F390" s="10"/>
      <c r="G390" s="18"/>
      <c r="H390" s="17"/>
    </row>
    <row r="391" spans="1:8" x14ac:dyDescent="0.25">
      <c r="A391" s="17"/>
      <c r="B391" s="10"/>
      <c r="C391" s="10"/>
      <c r="D391" s="10"/>
      <c r="E391" s="18"/>
      <c r="F391" s="10"/>
      <c r="G391" s="18"/>
      <c r="H391" s="17"/>
    </row>
    <row r="392" spans="1:8" x14ac:dyDescent="0.25">
      <c r="A392" s="17"/>
      <c r="B392" s="10"/>
      <c r="C392" s="10"/>
      <c r="D392" s="10"/>
      <c r="E392" s="18"/>
      <c r="F392" s="10"/>
      <c r="G392" s="18"/>
      <c r="H392" s="17"/>
    </row>
    <row r="393" spans="1:8" x14ac:dyDescent="0.25">
      <c r="A393" s="17"/>
      <c r="B393" s="10"/>
      <c r="C393" s="10"/>
      <c r="D393" s="10"/>
      <c r="E393" s="18"/>
      <c r="F393" s="10"/>
      <c r="G393" s="18"/>
      <c r="H393" s="17"/>
    </row>
    <row r="394" spans="1:8" x14ac:dyDescent="0.25">
      <c r="A394" s="17"/>
      <c r="B394" s="10"/>
      <c r="C394" s="10"/>
      <c r="D394" s="10"/>
      <c r="E394" s="18"/>
      <c r="F394" s="10"/>
      <c r="G394" s="18"/>
      <c r="H394" s="17"/>
    </row>
    <row r="395" spans="1:8" x14ac:dyDescent="0.25">
      <c r="A395" s="17"/>
      <c r="B395" s="10"/>
      <c r="C395" s="10"/>
      <c r="D395" s="10"/>
      <c r="E395" s="18"/>
      <c r="F395" s="10"/>
      <c r="G395" s="18"/>
      <c r="H395" s="17"/>
    </row>
    <row r="396" spans="1:8" x14ac:dyDescent="0.25">
      <c r="A396" s="17"/>
      <c r="B396" s="10"/>
      <c r="C396" s="10"/>
      <c r="D396" s="10"/>
      <c r="E396" s="18"/>
      <c r="F396" s="10"/>
      <c r="G396" s="18"/>
      <c r="H396" s="17"/>
    </row>
    <row r="397" spans="1:8" x14ac:dyDescent="0.25">
      <c r="A397" s="17"/>
      <c r="B397" s="10"/>
      <c r="C397" s="10"/>
      <c r="D397" s="10"/>
      <c r="E397" s="18"/>
      <c r="F397" s="10"/>
      <c r="G397" s="18"/>
      <c r="H397" s="17"/>
    </row>
    <row r="398" spans="1:8" x14ac:dyDescent="0.25">
      <c r="A398" s="17"/>
      <c r="B398" s="10"/>
      <c r="C398" s="10"/>
      <c r="D398" s="10"/>
      <c r="E398" s="18"/>
      <c r="F398" s="10"/>
      <c r="G398" s="18"/>
      <c r="H398" s="17"/>
    </row>
    <row r="399" spans="1:8" x14ac:dyDescent="0.25">
      <c r="A399" s="17"/>
      <c r="B399" s="10"/>
      <c r="C399" s="10"/>
      <c r="D399" s="10"/>
      <c r="E399" s="18"/>
      <c r="F399" s="10"/>
      <c r="G399" s="18"/>
      <c r="H399" s="17"/>
    </row>
    <row r="400" spans="1:8" x14ac:dyDescent="0.25">
      <c r="A400" s="17"/>
      <c r="B400" s="10"/>
      <c r="C400" s="10"/>
      <c r="D400" s="10"/>
      <c r="E400" s="18"/>
      <c r="F400" s="10"/>
      <c r="G400" s="18"/>
      <c r="H400" s="17"/>
    </row>
    <row r="401" spans="1:8" x14ac:dyDescent="0.25">
      <c r="A401" s="17"/>
      <c r="B401" s="10"/>
      <c r="C401" s="10"/>
      <c r="D401" s="10"/>
      <c r="E401" s="18"/>
      <c r="F401" s="10"/>
      <c r="G401" s="18"/>
      <c r="H401" s="17"/>
    </row>
    <row r="402" spans="1:8" x14ac:dyDescent="0.25">
      <c r="A402" s="17"/>
      <c r="B402" s="10"/>
      <c r="C402" s="10"/>
      <c r="D402" s="10"/>
      <c r="E402" s="18"/>
      <c r="F402" s="10"/>
      <c r="G402" s="18"/>
      <c r="H402" s="17"/>
    </row>
    <row r="403" spans="1:8" x14ac:dyDescent="0.25">
      <c r="A403" s="17"/>
      <c r="B403" s="10"/>
      <c r="C403" s="10"/>
      <c r="D403" s="10"/>
      <c r="E403" s="18"/>
      <c r="F403" s="10"/>
      <c r="G403" s="18"/>
      <c r="H403" s="17"/>
    </row>
    <row r="404" spans="1:8" x14ac:dyDescent="0.25">
      <c r="A404" s="17"/>
      <c r="B404" s="10"/>
      <c r="C404" s="10"/>
      <c r="D404" s="10"/>
      <c r="E404" s="18"/>
      <c r="F404" s="10"/>
      <c r="G404" s="18"/>
      <c r="H404" s="17"/>
    </row>
    <row r="405" spans="1:8" x14ac:dyDescent="0.25">
      <c r="A405" s="17"/>
      <c r="B405" s="10"/>
      <c r="C405" s="10"/>
      <c r="D405" s="10"/>
      <c r="E405" s="18"/>
      <c r="F405" s="10"/>
      <c r="G405" s="18"/>
      <c r="H405" s="17"/>
    </row>
    <row r="406" spans="1:8" x14ac:dyDescent="0.25">
      <c r="A406" s="17"/>
      <c r="B406" s="10"/>
      <c r="C406" s="10"/>
      <c r="D406" s="10"/>
      <c r="E406" s="18"/>
      <c r="F406" s="10"/>
      <c r="G406" s="18"/>
      <c r="H406" s="17"/>
    </row>
    <row r="407" spans="1:8" x14ac:dyDescent="0.25">
      <c r="A407" s="17"/>
      <c r="B407" s="10"/>
      <c r="C407" s="10"/>
      <c r="D407" s="10"/>
      <c r="E407" s="18"/>
      <c r="F407" s="10"/>
      <c r="G407" s="18"/>
      <c r="H407" s="17"/>
    </row>
    <row r="408" spans="1:8" x14ac:dyDescent="0.25">
      <c r="A408" s="17"/>
      <c r="B408" s="10"/>
      <c r="C408" s="10"/>
      <c r="D408" s="10"/>
      <c r="E408" s="18"/>
      <c r="F408" s="10"/>
      <c r="G408" s="18"/>
      <c r="H408" s="17"/>
    </row>
    <row r="409" spans="1:8" x14ac:dyDescent="0.25">
      <c r="A409" s="17"/>
      <c r="B409" s="10"/>
      <c r="C409" s="10"/>
      <c r="D409" s="10"/>
      <c r="E409" s="18"/>
      <c r="F409" s="10"/>
      <c r="G409" s="18"/>
      <c r="H409" s="17"/>
    </row>
  </sheetData>
  <dataValidations count="1">
    <dataValidation type="list" allowBlank="1" showErrorMessage="1" error="Pick one of: Open, Corrected, Added, Partial, Denied" sqref="F10:F409">
      <formula1>"Open,Corrected,Added,Partial,Denied"</formula1>
    </dataValidation>
  </dataValidations>
  <pageMargins left="0.7" right="0.7" top="0.75" bottom="0.75" header="0.3" footer="0.3"/>
  <pageSetup orientation="portrait" horizontalDpi="4294967295" verticalDpi="4294967295" scale="100" fitToWidth="1" fitToHeight="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owGridLines="0"/>
  </sheetViews>
  <sheetFormatPr defaultRowHeight="15" outlineLevelRow="0" outlineLevelCol="0" x14ac:dyDescent="55"/>
  <cols>
    <col min="1" max="1" width="5" customWidth="1"/>
    <col min="2" max="2" width="96" customWidth="1"/>
    <col min="3" max="3" width="10" customWidth="1"/>
  </cols>
  <sheetData>
    <row r="1" ht="26" customHeight="1" spans="1:1" x14ac:dyDescent="0.25">
      <c r="A1" s="7" t="s">
        <v>112</v>
      </c>
    </row>
    <row r="2" spans="1:1" x14ac:dyDescent="0.25">
      <c r="A2" s="8" t="s">
        <v>113</v>
      </c>
    </row>
    <row r="3" ht="32" customHeight="1" spans="1:3" x14ac:dyDescent="0.25">
      <c r="A3" s="13" t="s">
        <v>114</v>
      </c>
      <c r="B3" s="13" t="s">
        <v>115</v>
      </c>
      <c r="C3" s="13" t="s">
        <v>116</v>
      </c>
    </row>
    <row r="4" ht="18" customHeight="1" spans="1:3" x14ac:dyDescent="0.25">
      <c r="A4" s="25">
        <v>1</v>
      </c>
      <c r="B4" s="24" t="s">
        <v>117</v>
      </c>
      <c r="C4" s="31"/>
    </row>
    <row r="5" ht="32" customHeight="1" spans="1:3" x14ac:dyDescent="0.25">
      <c r="A5" s="25">
        <v>2</v>
      </c>
      <c r="B5" s="24" t="s">
        <v>118</v>
      </c>
      <c r="C5" s="31"/>
    </row>
    <row r="6" ht="32" customHeight="1" spans="1:3" x14ac:dyDescent="0.25">
      <c r="A6" s="25">
        <v>3</v>
      </c>
      <c r="B6" s="24" t="s">
        <v>119</v>
      </c>
      <c r="C6" s="31"/>
    </row>
    <row r="7" ht="32" customHeight="1" spans="1:3" x14ac:dyDescent="0.25">
      <c r="A7" s="25">
        <v>4</v>
      </c>
      <c r="B7" s="24" t="s">
        <v>120</v>
      </c>
      <c r="C7" s="31"/>
    </row>
    <row r="8" ht="32" customHeight="1" spans="1:3" x14ac:dyDescent="0.25">
      <c r="A8" s="25">
        <v>5</v>
      </c>
      <c r="B8" s="24" t="s">
        <v>121</v>
      </c>
      <c r="C8" s="31"/>
    </row>
    <row r="9" ht="32" customHeight="1" spans="1:3" x14ac:dyDescent="0.25">
      <c r="A9" s="25">
        <v>6</v>
      </c>
      <c r="B9" s="24" t="s">
        <v>122</v>
      </c>
      <c r="C9" s="31"/>
    </row>
    <row r="10" ht="32" customHeight="1" spans="1:3" x14ac:dyDescent="0.25">
      <c r="A10" s="25">
        <v>7</v>
      </c>
      <c r="B10" s="24" t="s">
        <v>123</v>
      </c>
      <c r="C10" s="31"/>
    </row>
    <row r="11" ht="32" customHeight="1" spans="1:3" x14ac:dyDescent="0.25">
      <c r="A11" s="25">
        <v>8</v>
      </c>
      <c r="B11" s="24" t="s">
        <v>124</v>
      </c>
      <c r="C11" s="31"/>
    </row>
    <row r="12" ht="18" customHeight="1" spans="1:3" x14ac:dyDescent="0.25">
      <c r="A12" s="25">
        <v>9</v>
      </c>
      <c r="B12" s="24" t="s">
        <v>125</v>
      </c>
      <c r="C12" s="31"/>
    </row>
    <row r="13" ht="32" customHeight="1" spans="1:3" x14ac:dyDescent="0.25">
      <c r="A13" s="25">
        <v>10</v>
      </c>
      <c r="B13" s="24" t="s">
        <v>126</v>
      </c>
      <c r="C13" s="31"/>
    </row>
    <row r="14" ht="18" customHeight="1" spans="1:3" x14ac:dyDescent="0.25">
      <c r="A14" s="25">
        <v>11</v>
      </c>
      <c r="B14" s="24" t="s">
        <v>127</v>
      </c>
      <c r="C14" s="31"/>
    </row>
    <row r="15" ht="18" customHeight="1" spans="1:3" x14ac:dyDescent="0.25">
      <c r="A15" s="25">
        <v>12</v>
      </c>
      <c r="B15" s="24" t="s">
        <v>128</v>
      </c>
      <c r="C15" s="31"/>
    </row>
    <row r="16" ht="18" customHeight="1" spans="1:3" x14ac:dyDescent="0.25">
      <c r="A16" s="25">
        <v>13</v>
      </c>
      <c r="B16" s="24" t="s">
        <v>129</v>
      </c>
      <c r="C16" s="31"/>
    </row>
    <row r="19" spans="1:1" x14ac:dyDescent="0.25">
      <c r="A19" s="12" t="s">
        <v>19</v>
      </c>
    </row>
  </sheetData>
  <dataValidations count="1">
    <dataValidation type="list" allowBlank="1" showErrorMessage="1" error="Pick one of: Done" sqref="C4:C16">
      <formula1>"Done"</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Setup</vt:lpstr>
      <vt:lpstr>Our DOs</vt:lpstr>
      <vt:lpstr>Their statement</vt:lpstr>
      <vt:lpstr>Reconcile</vt:lpstr>
      <vt:lpstr>Dispute email</vt:lpstr>
      <vt:lpstr>Dispute log</vt: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FieldRepOps</dc:creator>
  <dc:title/>
  <dc:subject/>
  <dc:description/>
  <cp:keywords/>
  <cp:category/>
  <cp:lastModifiedBy>Unknown</cp:lastModifiedBy>
  <dcterms:created xsi:type="dcterms:W3CDTF">2026-10-29T12:00:00Z</dcterms:created>
  <dcterms:modified xsi:type="dcterms:W3CDTF">2026-10-30T02:17:53Z</dcterms:modified>
</cp:coreProperties>
</file>